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 activeTab="2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Plan6" sheetId="6" r:id="rId6"/>
  </sheets>
  <calcPr calcId="145621"/>
</workbook>
</file>

<file path=xl/calcChain.xml><?xml version="1.0" encoding="utf-8"?>
<calcChain xmlns="http://schemas.openxmlformats.org/spreadsheetml/2006/main">
  <c r="S20" i="3" l="1"/>
  <c r="S21" i="3"/>
  <c r="S22" i="3"/>
  <c r="S23" i="3"/>
  <c r="S24" i="3"/>
  <c r="S25" i="3"/>
  <c r="S19" i="3"/>
  <c r="R20" i="3"/>
  <c r="R21" i="3"/>
  <c r="R22" i="3"/>
  <c r="R23" i="3"/>
  <c r="R24" i="3"/>
  <c r="R25" i="3"/>
  <c r="R19" i="3"/>
  <c r="Q20" i="3"/>
  <c r="Q21" i="3"/>
  <c r="Q22" i="3"/>
  <c r="Q23" i="3"/>
  <c r="Q24" i="3"/>
  <c r="Q25" i="3"/>
  <c r="Q19" i="3"/>
  <c r="P20" i="3"/>
  <c r="P21" i="3"/>
  <c r="P22" i="3"/>
  <c r="P23" i="3"/>
  <c r="P24" i="3"/>
  <c r="P25" i="3"/>
  <c r="O20" i="3"/>
  <c r="O21" i="3"/>
  <c r="O22" i="3"/>
  <c r="O23" i="3"/>
  <c r="O24" i="3"/>
  <c r="O25" i="3"/>
  <c r="N20" i="3"/>
  <c r="N21" i="3"/>
  <c r="N22" i="3"/>
  <c r="N23" i="3"/>
  <c r="N24" i="3"/>
  <c r="N25" i="3"/>
  <c r="M20" i="3"/>
  <c r="M21" i="3"/>
  <c r="M22" i="3"/>
  <c r="M23" i="3"/>
  <c r="M24" i="3"/>
  <c r="M25" i="3"/>
  <c r="K20" i="3"/>
  <c r="K21" i="3"/>
  <c r="K22" i="3"/>
  <c r="K23" i="3"/>
  <c r="K24" i="3"/>
  <c r="K25" i="3"/>
  <c r="K19" i="3"/>
  <c r="J20" i="3"/>
  <c r="J21" i="3"/>
  <c r="J22" i="3"/>
  <c r="J23" i="3"/>
  <c r="J24" i="3"/>
  <c r="J25" i="3"/>
  <c r="J19" i="3"/>
  <c r="I20" i="3"/>
  <c r="I21" i="3"/>
  <c r="I22" i="3"/>
  <c r="I23" i="3"/>
  <c r="I24" i="3"/>
  <c r="I25" i="3"/>
  <c r="I19" i="3"/>
  <c r="G21" i="3"/>
  <c r="G22" i="3"/>
  <c r="G23" i="3"/>
  <c r="G24" i="3"/>
  <c r="G25" i="3"/>
  <c r="G20" i="3"/>
  <c r="E21" i="3"/>
  <c r="E22" i="3"/>
  <c r="E23" i="3"/>
  <c r="E24" i="3"/>
  <c r="E25" i="3"/>
  <c r="E20" i="3"/>
  <c r="D20" i="3"/>
  <c r="D21" i="3"/>
  <c r="D22" i="3"/>
  <c r="D23" i="3"/>
  <c r="D24" i="3"/>
  <c r="D25" i="3"/>
  <c r="D19" i="3"/>
  <c r="C20" i="3"/>
  <c r="C21" i="3"/>
  <c r="C22" i="3"/>
  <c r="C23" i="3"/>
  <c r="C24" i="3"/>
  <c r="C25" i="3"/>
  <c r="C19" i="3"/>
  <c r="B20" i="3"/>
  <c r="B21" i="3"/>
  <c r="B22" i="3"/>
  <c r="B23" i="3"/>
  <c r="B24" i="3"/>
  <c r="B25" i="3"/>
  <c r="F13" i="3"/>
  <c r="C23" i="5"/>
  <c r="F23" i="5"/>
  <c r="E23" i="5"/>
  <c r="E24" i="5"/>
  <c r="L22" i="4"/>
  <c r="L23" i="4"/>
  <c r="L24" i="4"/>
  <c r="L25" i="4"/>
  <c r="L26" i="4"/>
  <c r="L27" i="4"/>
  <c r="L28" i="4"/>
  <c r="L21" i="4"/>
  <c r="K22" i="4"/>
  <c r="K23" i="4"/>
  <c r="K24" i="4"/>
  <c r="K25" i="4"/>
  <c r="K26" i="4"/>
  <c r="K27" i="4"/>
  <c r="K28" i="4"/>
  <c r="K21" i="4"/>
  <c r="J22" i="4"/>
  <c r="J23" i="4"/>
  <c r="J24" i="4"/>
  <c r="J25" i="4"/>
  <c r="J26" i="4"/>
  <c r="J27" i="4"/>
  <c r="J28" i="4"/>
  <c r="J21" i="4"/>
  <c r="I22" i="4"/>
  <c r="I23" i="4"/>
  <c r="I24" i="4"/>
  <c r="I25" i="4"/>
  <c r="I26" i="4"/>
  <c r="I27" i="4"/>
  <c r="I28" i="4"/>
  <c r="I21" i="4"/>
  <c r="H22" i="4"/>
  <c r="H23" i="4"/>
  <c r="H24" i="4"/>
  <c r="H25" i="4"/>
  <c r="H26" i="4"/>
  <c r="H27" i="4"/>
  <c r="H28" i="4"/>
  <c r="H21" i="4"/>
  <c r="G24" i="4"/>
  <c r="G22" i="4"/>
  <c r="G23" i="4"/>
  <c r="G25" i="4"/>
  <c r="G26" i="4"/>
  <c r="G27" i="4"/>
  <c r="G28" i="4"/>
  <c r="G21" i="4"/>
  <c r="F22" i="4"/>
  <c r="F23" i="4"/>
  <c r="F24" i="4"/>
  <c r="F25" i="4"/>
  <c r="F26" i="4"/>
  <c r="F27" i="4"/>
  <c r="F28" i="4"/>
  <c r="F21" i="4"/>
  <c r="E22" i="4"/>
  <c r="E23" i="4"/>
  <c r="E24" i="4"/>
  <c r="E25" i="4"/>
  <c r="E26" i="4"/>
  <c r="E27" i="4"/>
  <c r="E28" i="4"/>
  <c r="E21" i="4"/>
  <c r="D22" i="4"/>
  <c r="D23" i="4"/>
  <c r="D24" i="4"/>
  <c r="D25" i="4"/>
  <c r="D26" i="4"/>
  <c r="D27" i="4"/>
  <c r="D28" i="4"/>
  <c r="D21" i="4"/>
  <c r="C23" i="4"/>
  <c r="C24" i="4"/>
  <c r="C25" i="4"/>
  <c r="C26" i="4"/>
  <c r="C27" i="4"/>
  <c r="C28" i="4"/>
  <c r="C22" i="4"/>
  <c r="F20" i="5"/>
  <c r="F21" i="5"/>
  <c r="F22" i="5"/>
  <c r="F24" i="5"/>
  <c r="F26" i="5"/>
  <c r="F19" i="5"/>
  <c r="E20" i="5"/>
  <c r="E21" i="5"/>
  <c r="E26" i="5"/>
  <c r="E19" i="5"/>
  <c r="D20" i="5"/>
  <c r="D21" i="5"/>
  <c r="D22" i="5"/>
  <c r="D23" i="5"/>
  <c r="D24" i="5"/>
  <c r="D25" i="5"/>
  <c r="E25" i="5" s="1"/>
  <c r="F25" i="5" s="1"/>
  <c r="D26" i="5"/>
  <c r="D19" i="5"/>
  <c r="C20" i="5"/>
  <c r="C21" i="5"/>
  <c r="C24" i="5"/>
  <c r="C25" i="5"/>
  <c r="C26" i="5"/>
  <c r="C19" i="5"/>
  <c r="B20" i="5"/>
  <c r="B21" i="5"/>
  <c r="B22" i="5"/>
  <c r="C22" i="5" s="1"/>
  <c r="E22" i="5" s="1"/>
  <c r="B23" i="5"/>
  <c r="B24" i="5"/>
  <c r="B25" i="5"/>
  <c r="B26" i="5"/>
  <c r="B19" i="5"/>
  <c r="F13" i="5"/>
  <c r="F19" i="1"/>
  <c r="L19" i="1" s="1"/>
  <c r="M19" i="1" s="1"/>
  <c r="M17" i="1"/>
  <c r="M18" i="1"/>
  <c r="M16" i="1"/>
  <c r="L17" i="1"/>
  <c r="L18" i="1"/>
  <c r="L16" i="1"/>
  <c r="J17" i="1"/>
  <c r="J18" i="1"/>
  <c r="J19" i="1"/>
  <c r="L12" i="1"/>
  <c r="J16" i="1" s="1"/>
  <c r="I17" i="1"/>
  <c r="I18" i="1"/>
  <c r="I19" i="1"/>
  <c r="I16" i="1"/>
  <c r="H17" i="1"/>
  <c r="H18" i="1"/>
  <c r="H16" i="1"/>
  <c r="G17" i="1"/>
  <c r="G18" i="1"/>
  <c r="G19" i="1"/>
  <c r="H19" i="1" s="1"/>
  <c r="G16" i="1"/>
  <c r="F17" i="1"/>
  <c r="F18" i="1"/>
  <c r="F16" i="1"/>
  <c r="E17" i="1"/>
  <c r="E18" i="1"/>
  <c r="E19" i="1"/>
  <c r="E16" i="1"/>
  <c r="D17" i="1"/>
  <c r="D18" i="1"/>
  <c r="D19" i="1"/>
  <c r="D16" i="1"/>
  <c r="C17" i="1"/>
  <c r="C18" i="1"/>
  <c r="C19" i="1"/>
  <c r="C16" i="1"/>
  <c r="B17" i="1"/>
  <c r="B18" i="1"/>
  <c r="B19" i="1"/>
  <c r="B16" i="1"/>
  <c r="G14" i="4"/>
  <c r="F13" i="2"/>
  <c r="F10" i="1"/>
  <c r="D36" i="2"/>
  <c r="G33" i="2"/>
  <c r="G34" i="2"/>
  <c r="G35" i="2"/>
  <c r="G36" i="2"/>
  <c r="G37" i="2"/>
  <c r="G38" i="2"/>
  <c r="G39" i="2"/>
  <c r="G32" i="2"/>
  <c r="F33" i="2"/>
  <c r="F34" i="2"/>
  <c r="F35" i="2"/>
  <c r="F36" i="2"/>
  <c r="F37" i="2"/>
  <c r="F38" i="2"/>
  <c r="F39" i="2"/>
  <c r="F32" i="2"/>
  <c r="E33" i="2"/>
  <c r="E34" i="2"/>
  <c r="E35" i="2"/>
  <c r="E36" i="2"/>
  <c r="E37" i="2"/>
  <c r="E38" i="2"/>
  <c r="E39" i="2"/>
  <c r="E32" i="2"/>
  <c r="C37" i="2"/>
  <c r="D37" i="2"/>
  <c r="C36" i="2"/>
  <c r="K16" i="2"/>
  <c r="C32" i="2"/>
  <c r="D32" i="2" s="1"/>
  <c r="C33" i="2"/>
  <c r="D33" i="2" s="1"/>
  <c r="C34" i="2"/>
  <c r="D34" i="2" s="1"/>
  <c r="C35" i="2"/>
  <c r="D35" i="2" s="1"/>
  <c r="C38" i="2"/>
  <c r="D38" i="2" s="1"/>
  <c r="C39" i="2"/>
  <c r="D39" i="2" s="1"/>
  <c r="M17" i="2"/>
  <c r="M19" i="2"/>
  <c r="M20" i="2"/>
  <c r="M21" i="2"/>
  <c r="M22" i="2"/>
  <c r="M23" i="2"/>
  <c r="M16" i="2"/>
  <c r="L17" i="2"/>
  <c r="L18" i="2"/>
  <c r="L19" i="2"/>
  <c r="L20" i="2"/>
  <c r="L21" i="2"/>
  <c r="L22" i="2"/>
  <c r="L23" i="2"/>
  <c r="L16" i="2"/>
  <c r="K17" i="2"/>
  <c r="K19" i="2"/>
  <c r="K18" i="2"/>
  <c r="M18" i="2" s="1"/>
  <c r="K21" i="2"/>
  <c r="K22" i="2"/>
  <c r="K23" i="2"/>
  <c r="K20" i="2"/>
  <c r="I17" i="2"/>
  <c r="I18" i="2"/>
  <c r="I19" i="2"/>
  <c r="I20" i="2"/>
  <c r="I21" i="2"/>
  <c r="I22" i="2"/>
  <c r="I23" i="2"/>
  <c r="I16" i="2"/>
  <c r="J17" i="2"/>
  <c r="J18" i="2"/>
  <c r="J19" i="2"/>
  <c r="J20" i="2"/>
  <c r="J21" i="2"/>
  <c r="J22" i="2"/>
  <c r="J23" i="2"/>
  <c r="J16" i="2"/>
  <c r="F17" i="2"/>
  <c r="F18" i="2"/>
  <c r="F19" i="2"/>
  <c r="F20" i="2"/>
  <c r="F21" i="2"/>
  <c r="F22" i="2"/>
  <c r="F23" i="2"/>
  <c r="F16" i="2"/>
  <c r="E17" i="2"/>
  <c r="E18" i="2"/>
  <c r="E19" i="2"/>
  <c r="E20" i="2"/>
  <c r="E21" i="2"/>
  <c r="E22" i="2"/>
  <c r="E23" i="2"/>
  <c r="E16" i="2"/>
  <c r="D17" i="2"/>
  <c r="D18" i="2"/>
  <c r="D19" i="2"/>
  <c r="D20" i="2"/>
  <c r="D21" i="2"/>
  <c r="D22" i="2"/>
  <c r="D23" i="2"/>
  <c r="D16" i="2"/>
  <c r="C23" i="2"/>
  <c r="C17" i="2"/>
  <c r="C18" i="2"/>
  <c r="C19" i="2"/>
  <c r="C20" i="2"/>
  <c r="C21" i="2"/>
  <c r="C22" i="2"/>
  <c r="C16" i="2"/>
  <c r="B23" i="2"/>
  <c r="B17" i="2"/>
  <c r="B18" i="2"/>
  <c r="B19" i="2"/>
  <c r="B20" i="2"/>
  <c r="B21" i="2"/>
  <c r="B22" i="2"/>
</calcChain>
</file>

<file path=xl/sharedStrings.xml><?xml version="1.0" encoding="utf-8"?>
<sst xmlns="http://schemas.openxmlformats.org/spreadsheetml/2006/main" count="248" uniqueCount="101">
  <si>
    <t>Ensaios</t>
  </si>
  <si>
    <t>Pme (mmHg)</t>
  </si>
  <si>
    <t>Pms (kPa)</t>
  </si>
  <si>
    <t>n (rpm)</t>
  </si>
  <si>
    <t>Δh (mm)</t>
  </si>
  <si>
    <t>t (s)</t>
  </si>
  <si>
    <t>-</t>
  </si>
  <si>
    <t>Dados</t>
  </si>
  <si>
    <r>
      <t xml:space="preserve">temperatura </t>
    </r>
    <r>
      <rPr>
        <vertAlign val="superscript"/>
        <sz val="12"/>
        <rFont val="Calibri"/>
        <family val="2"/>
      </rPr>
      <t>0</t>
    </r>
    <r>
      <rPr>
        <sz val="12"/>
        <rFont val="Calibri"/>
        <family val="2"/>
      </rPr>
      <t>C</t>
    </r>
  </si>
  <si>
    <t>L (cm)</t>
  </si>
  <si>
    <t>Atanque (m²)</t>
  </si>
  <si>
    <r>
      <t>z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(cm)</t>
    </r>
  </si>
  <si>
    <r>
      <t>z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(cm)</t>
    </r>
  </si>
  <si>
    <r>
      <t>z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(cm)</t>
    </r>
  </si>
  <si>
    <r>
      <t>z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(cm)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</si>
  <si>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z (cm)</t>
    </r>
  </si>
  <si>
    <t>braço (mm)</t>
  </si>
  <si>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Calibri"/>
        <family val="2"/>
        <scheme val="minor"/>
      </rPr>
      <t>H20 25</t>
    </r>
    <r>
      <rPr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(kg/m³)</t>
    </r>
  </si>
  <si>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Calibri"/>
        <family val="2"/>
        <scheme val="minor"/>
      </rPr>
      <t>Hg 25</t>
    </r>
    <r>
      <rPr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(kg/m³)</t>
    </r>
  </si>
  <si>
    <r>
      <rPr>
        <sz val="11"/>
        <color theme="1"/>
        <rFont val="Symbol"/>
        <family val="1"/>
        <charset val="2"/>
      </rPr>
      <t>n</t>
    </r>
    <r>
      <rPr>
        <vertAlign val="subscript"/>
        <sz val="11"/>
        <color theme="1"/>
        <rFont val="Calibri"/>
        <family val="2"/>
        <scheme val="minor"/>
      </rPr>
      <t>H20 25</t>
    </r>
    <r>
      <rPr>
        <vertAlign val="super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(m²/s)</t>
    </r>
  </si>
  <si>
    <t>g (m/s²)</t>
  </si>
  <si>
    <r>
      <t>n</t>
    </r>
    <r>
      <rPr>
        <vertAlign val="subscript"/>
        <sz val="12"/>
        <rFont val="Calibri"/>
        <family val="2"/>
      </rPr>
      <t>nominal</t>
    </r>
    <r>
      <rPr>
        <sz val="12"/>
        <rFont val="Calibri"/>
        <family val="2"/>
      </rPr>
      <t xml:space="preserve"> (rpm)</t>
    </r>
  </si>
  <si>
    <t>De (mm)</t>
  </si>
  <si>
    <t>Ae (cm²)</t>
  </si>
  <si>
    <t>Ds (mm)</t>
  </si>
  <si>
    <t>As (cm²)</t>
  </si>
  <si>
    <t>he (cm)</t>
  </si>
  <si>
    <t>hs (cm)</t>
  </si>
  <si>
    <r>
      <t>v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(m/s)</t>
    </r>
  </si>
  <si>
    <r>
      <t>Re</t>
    </r>
    <r>
      <rPr>
        <vertAlign val="subscript"/>
        <sz val="11"/>
        <color theme="1"/>
        <rFont val="Calibri"/>
        <family val="2"/>
        <scheme val="minor"/>
      </rPr>
      <t>e</t>
    </r>
  </si>
  <si>
    <r>
      <t>v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(m/s)</t>
    </r>
  </si>
  <si>
    <r>
      <t>Re</t>
    </r>
    <r>
      <rPr>
        <vertAlign val="subscript"/>
        <sz val="11"/>
        <color theme="1"/>
        <rFont val="Calibri"/>
        <family val="2"/>
        <scheme val="minor"/>
      </rPr>
      <t>s</t>
    </r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</si>
  <si>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Calibri"/>
        <family val="2"/>
        <scheme val="minor"/>
      </rPr>
      <t>e</t>
    </r>
  </si>
  <si>
    <r>
      <rPr>
        <sz val="11"/>
        <color theme="1"/>
        <rFont val="Symbol"/>
        <family val="1"/>
        <charset val="2"/>
      </rPr>
      <t>a</t>
    </r>
    <r>
      <rPr>
        <vertAlign val="subscript"/>
        <sz val="11"/>
        <color theme="1"/>
        <rFont val="Calibri"/>
        <family val="2"/>
        <scheme val="minor"/>
      </rPr>
      <t>s</t>
    </r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</si>
  <si>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(Pa)</t>
    </r>
  </si>
  <si>
    <r>
      <t>p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(Pa)</t>
    </r>
  </si>
  <si>
    <r>
      <t>Q</t>
    </r>
    <r>
      <rPr>
        <vertAlign val="subscript"/>
        <sz val="11"/>
        <color theme="1"/>
        <rFont val="Calibri"/>
        <family val="2"/>
        <scheme val="minor"/>
      </rPr>
      <t>exp</t>
    </r>
    <r>
      <rPr>
        <sz val="11"/>
        <color theme="1"/>
        <rFont val="Calibri"/>
        <family val="2"/>
        <scheme val="minor"/>
      </rPr>
      <t xml:space="preserve"> (m³/s)</t>
    </r>
  </si>
  <si>
    <r>
      <t>H</t>
    </r>
    <r>
      <rPr>
        <vertAlign val="subscript"/>
        <sz val="11"/>
        <color theme="1"/>
        <rFont val="Calibri"/>
        <family val="2"/>
        <scheme val="minor"/>
      </rPr>
      <t>Bexp</t>
    </r>
    <r>
      <rPr>
        <sz val="11"/>
        <color theme="1"/>
        <rFont val="Calibri"/>
        <family val="2"/>
        <scheme val="minor"/>
      </rPr>
      <t xml:space="preserve"> (m)</t>
    </r>
  </si>
  <si>
    <r>
      <t>Q</t>
    </r>
    <r>
      <rPr>
        <vertAlign val="subscript"/>
        <sz val="11"/>
        <color theme="1"/>
        <rFont val="Calibri"/>
        <family val="2"/>
        <scheme val="minor"/>
      </rPr>
      <t>3500</t>
    </r>
    <r>
      <rPr>
        <sz val="11"/>
        <color theme="1"/>
        <rFont val="Calibri"/>
        <family val="2"/>
        <scheme val="minor"/>
      </rPr>
      <t xml:space="preserve"> (m³/s)</t>
    </r>
  </si>
  <si>
    <r>
      <t>H</t>
    </r>
    <r>
      <rPr>
        <vertAlign val="subscript"/>
        <sz val="11"/>
        <color theme="1"/>
        <rFont val="Calibri"/>
        <family val="2"/>
        <scheme val="minor"/>
      </rPr>
      <t>B3500</t>
    </r>
    <r>
      <rPr>
        <sz val="11"/>
        <color theme="1"/>
        <rFont val="Calibri"/>
        <family val="2"/>
        <scheme val="minor"/>
      </rPr>
      <t xml:space="preserve"> (m)</t>
    </r>
  </si>
  <si>
    <r>
      <t>Tabela de resultados da experiência para obtenção da curva de H</t>
    </r>
    <r>
      <rPr>
        <vertAlign val="subscript"/>
        <sz val="11"/>
        <color rgb="FFFF0000"/>
        <rFont val="Calibri"/>
        <family val="2"/>
        <scheme val="minor"/>
      </rPr>
      <t>B</t>
    </r>
    <r>
      <rPr>
        <sz val="11"/>
        <color rgb="FFFF0000"/>
        <rFont val="Calibri"/>
        <family val="2"/>
        <scheme val="minor"/>
      </rPr>
      <t xml:space="preserve"> = f(Q) para uma dada rotação</t>
    </r>
  </si>
  <si>
    <r>
      <t>H</t>
    </r>
    <r>
      <rPr>
        <vertAlign val="subscript"/>
        <sz val="11"/>
        <color theme="1"/>
        <rFont val="Calibri"/>
        <family val="2"/>
        <scheme val="minor"/>
      </rPr>
      <t>inicial</t>
    </r>
    <r>
      <rPr>
        <sz val="11"/>
        <color theme="1"/>
        <rFont val="Calibri"/>
        <family val="2"/>
        <scheme val="minor"/>
      </rPr>
      <t xml:space="preserve"> (m)</t>
    </r>
  </si>
  <si>
    <r>
      <t>H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(m)</t>
    </r>
  </si>
  <si>
    <r>
      <t>H</t>
    </r>
    <r>
      <rPr>
        <vertAlign val="subscript"/>
        <sz val="11"/>
        <color theme="1"/>
        <rFont val="Calibri"/>
        <family val="2"/>
        <scheme val="minor"/>
      </rPr>
      <t>paB</t>
    </r>
    <r>
      <rPr>
        <sz val="11"/>
        <color theme="1"/>
        <rFont val="Calibri"/>
        <family val="2"/>
        <scheme val="minor"/>
      </rPr>
      <t xml:space="preserve"> (m)</t>
    </r>
  </si>
  <si>
    <r>
      <t>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(m)</t>
    </r>
  </si>
  <si>
    <r>
      <t>H</t>
    </r>
    <r>
      <rPr>
        <vertAlign val="subscript"/>
        <sz val="11"/>
        <color theme="1"/>
        <rFont val="Calibri"/>
        <family val="2"/>
        <scheme val="minor"/>
      </rPr>
      <t>final</t>
    </r>
    <r>
      <rPr>
        <sz val="11"/>
        <color theme="1"/>
        <rFont val="Calibri"/>
        <family val="2"/>
        <scheme val="minor"/>
      </rPr>
      <t>(m)</t>
    </r>
  </si>
  <si>
    <r>
      <t>H</t>
    </r>
    <r>
      <rPr>
        <vertAlign val="subscript"/>
        <sz val="11"/>
        <color theme="1"/>
        <rFont val="Calibri"/>
        <family val="2"/>
        <scheme val="minor"/>
      </rPr>
      <t>pdB</t>
    </r>
    <r>
      <rPr>
        <sz val="11"/>
        <color theme="1"/>
        <rFont val="Calibri"/>
        <family val="2"/>
        <scheme val="minor"/>
      </rPr>
      <t xml:space="preserve"> (m)</t>
    </r>
  </si>
  <si>
    <t>Experiência para determinação da perda de carga antes e depois da bomba, onde para a perda antes da bomba adotamos um PHR no nível de captação e para a perda depois da bomba um PHR no chão e em ambos trabalhamos na escala efetiva</t>
  </si>
  <si>
    <t>Ensaio</t>
  </si>
  <si>
    <r>
      <t>P</t>
    </r>
    <r>
      <rPr>
        <vertAlign val="subscript"/>
        <sz val="12"/>
        <color rgb="FF000000"/>
        <rFont val="Calibri"/>
        <family val="2"/>
      </rPr>
      <t>m1</t>
    </r>
    <r>
      <rPr>
        <sz val="12"/>
        <color rgb="FF000000"/>
        <rFont val="Calibri"/>
        <family val="2"/>
      </rPr>
      <t xml:space="preserve"> (psi)</t>
    </r>
  </si>
  <si>
    <r>
      <t>P</t>
    </r>
    <r>
      <rPr>
        <vertAlign val="subscript"/>
        <sz val="12"/>
        <color rgb="FF000000"/>
        <rFont val="Calibri"/>
        <family val="2"/>
      </rPr>
      <t>m2</t>
    </r>
    <r>
      <rPr>
        <sz val="12"/>
        <color rgb="FF000000"/>
        <rFont val="Calibri"/>
        <family val="2"/>
      </rPr>
      <t>(psi)</t>
    </r>
  </si>
  <si>
    <t>t(s)</t>
  </si>
  <si>
    <t>h(cm) diferença manômetro em U</t>
  </si>
  <si>
    <t>psi</t>
  </si>
  <si>
    <t>igual a Pa</t>
  </si>
  <si>
    <t>mm Hg</t>
  </si>
  <si>
    <t>K (m)</t>
  </si>
  <si>
    <t>4,6 e-5</t>
  </si>
  <si>
    <r>
      <t>P</t>
    </r>
    <r>
      <rPr>
        <vertAlign val="subscript"/>
        <sz val="12"/>
        <rFont val="Calibri"/>
        <family val="2"/>
      </rPr>
      <t>me</t>
    </r>
    <r>
      <rPr>
        <sz val="12"/>
        <rFont val="Calibri"/>
        <family val="2"/>
      </rPr>
      <t xml:space="preserve"> (mmHg)</t>
    </r>
  </si>
  <si>
    <r>
      <t>P</t>
    </r>
    <r>
      <rPr>
        <vertAlign val="subscript"/>
        <sz val="12"/>
        <rFont val="Calibri"/>
        <family val="2"/>
      </rPr>
      <t xml:space="preserve">ms </t>
    </r>
    <r>
      <rPr>
        <sz val="12"/>
        <rFont val="Calibri"/>
        <family val="2"/>
      </rPr>
      <t>(kgf/cm²)</t>
    </r>
  </si>
  <si>
    <t>F (kgf)</t>
  </si>
  <si>
    <t>∆h (mm)</t>
  </si>
  <si>
    <t>v(m/s)</t>
  </si>
  <si>
    <t>hs(m)</t>
  </si>
  <si>
    <t>Ks</t>
  </si>
  <si>
    <t>hf (m)</t>
  </si>
  <si>
    <r>
      <t>f</t>
    </r>
    <r>
      <rPr>
        <vertAlign val="subscript"/>
        <sz val="11"/>
        <color theme="1"/>
        <rFont val="Calibri"/>
        <family val="2"/>
        <scheme val="minor"/>
      </rPr>
      <t>exp</t>
    </r>
  </si>
  <si>
    <r>
      <t>L</t>
    </r>
    <r>
      <rPr>
        <vertAlign val="subscript"/>
        <sz val="11"/>
        <color theme="1"/>
        <rFont val="Calibri"/>
        <family val="2"/>
        <scheme val="minor"/>
      </rPr>
      <t>eqVGA</t>
    </r>
    <r>
      <rPr>
        <sz val="11"/>
        <color theme="1"/>
        <rFont val="Calibri"/>
        <family val="2"/>
        <scheme val="minor"/>
      </rPr>
      <t xml:space="preserve"> (m)</t>
    </r>
  </si>
  <si>
    <r>
      <t>Re x (f)</t>
    </r>
    <r>
      <rPr>
        <vertAlign val="superscript"/>
        <sz val="11"/>
        <color theme="1"/>
        <rFont val="Calibri"/>
        <family val="2"/>
        <scheme val="minor"/>
      </rPr>
      <t>1/2</t>
    </r>
  </si>
  <si>
    <r>
      <t>D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/k</t>
    </r>
  </si>
  <si>
    <r>
      <t>f</t>
    </r>
    <r>
      <rPr>
        <vertAlign val="subscript"/>
        <sz val="11"/>
        <color theme="1"/>
        <rFont val="Calibri"/>
        <family val="2"/>
        <scheme val="minor"/>
      </rPr>
      <t>Rouse</t>
    </r>
  </si>
  <si>
    <r>
      <t>Q</t>
    </r>
    <r>
      <rPr>
        <vertAlign val="subscript"/>
        <sz val="11"/>
        <color theme="1"/>
        <rFont val="Calibri"/>
        <family val="2"/>
        <scheme val="minor"/>
      </rPr>
      <t xml:space="preserve">rouse </t>
    </r>
    <r>
      <rPr>
        <sz val="11"/>
        <color theme="1"/>
        <rFont val="Calibri"/>
        <family val="2"/>
        <scheme val="minor"/>
      </rPr>
      <t>(m³/s)</t>
    </r>
  </si>
  <si>
    <r>
      <t>C</t>
    </r>
    <r>
      <rPr>
        <vertAlign val="subscript"/>
        <sz val="11"/>
        <color theme="1"/>
        <rFont val="Calibri"/>
        <family val="2"/>
        <scheme val="minor"/>
      </rPr>
      <t>dRouse</t>
    </r>
  </si>
  <si>
    <t>Experiência para o cálculo do comprimento equivalente da válvula gaveta de 1"</t>
  </si>
  <si>
    <t>Experiência para estimar a vazão pelo diagrama de Rouse</t>
  </si>
  <si>
    <r>
      <t>P</t>
    </r>
    <r>
      <rPr>
        <vertAlign val="subscript"/>
        <sz val="12"/>
        <color rgb="FF000000"/>
        <rFont val="Calibri"/>
        <family val="2"/>
      </rPr>
      <t>entrada da VGL</t>
    </r>
    <r>
      <rPr>
        <sz val="12"/>
        <color rgb="FF000000"/>
        <rFont val="Calibri"/>
        <family val="2"/>
      </rPr>
      <t xml:space="preserve"> (kPa)</t>
    </r>
  </si>
  <si>
    <r>
      <t>P</t>
    </r>
    <r>
      <rPr>
        <vertAlign val="subscript"/>
        <sz val="12"/>
        <color rgb="FF000000"/>
        <rFont val="Calibri"/>
        <family val="2"/>
      </rPr>
      <t>saída da VGL</t>
    </r>
    <r>
      <rPr>
        <sz val="12"/>
        <color rgb="FF000000"/>
        <rFont val="Calibri"/>
        <family val="2"/>
      </rPr>
      <t xml:space="preserve"> (kPa)</t>
    </r>
  </si>
  <si>
    <r>
      <t>f</t>
    </r>
    <r>
      <rPr>
        <vertAlign val="subscript"/>
        <sz val="12"/>
        <color rgb="FF000000"/>
        <rFont val="Calibri"/>
        <family val="2"/>
      </rPr>
      <t>1,5”</t>
    </r>
  </si>
  <si>
    <t>Q(m³/s)</t>
  </si>
  <si>
    <t>hs (m)</t>
  </si>
  <si>
    <r>
      <t>K</t>
    </r>
    <r>
      <rPr>
        <vertAlign val="subscript"/>
        <sz val="11"/>
        <color theme="1"/>
        <rFont val="Calibri"/>
        <family val="2"/>
        <scheme val="minor"/>
      </rPr>
      <t>S</t>
    </r>
  </si>
  <si>
    <r>
      <t>L</t>
    </r>
    <r>
      <rPr>
        <vertAlign val="subscript"/>
        <sz val="11"/>
        <color theme="1"/>
        <rFont val="Calibri"/>
        <family val="2"/>
        <scheme val="minor"/>
      </rPr>
      <t>eqVGL</t>
    </r>
    <r>
      <rPr>
        <sz val="11"/>
        <color theme="1"/>
        <rFont val="Calibri"/>
        <family val="2"/>
        <scheme val="minor"/>
      </rPr>
      <t xml:space="preserve"> (m)</t>
    </r>
  </si>
  <si>
    <t>Experiência para a determinação do comprimento equivalente da válvula globo de 1,5"</t>
  </si>
  <si>
    <t>N (W)</t>
  </si>
  <si>
    <r>
      <t>N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(W)</t>
    </r>
  </si>
  <si>
    <r>
      <rPr>
        <sz val="11"/>
        <color theme="1"/>
        <rFont val="Symbol"/>
        <family val="1"/>
        <charset val="2"/>
      </rPr>
      <t>h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(%)</t>
    </r>
  </si>
  <si>
    <r>
      <rPr>
        <sz val="11"/>
        <color theme="1"/>
        <rFont val="Symbol"/>
        <family val="1"/>
        <charset val="2"/>
      </rPr>
      <t>h</t>
    </r>
    <r>
      <rPr>
        <vertAlign val="subscript"/>
        <sz val="11"/>
        <color theme="1"/>
        <rFont val="Calibri"/>
        <family val="2"/>
        <scheme val="minor"/>
      </rPr>
      <t>Bcorrigido</t>
    </r>
    <r>
      <rPr>
        <sz val="11"/>
        <color theme="1"/>
        <rFont val="Calibri"/>
        <family val="2"/>
        <scheme val="minor"/>
      </rPr>
      <t xml:space="preserve"> (%)</t>
    </r>
  </si>
  <si>
    <r>
      <t>Experiência do freio dinamométrico cujo objetivos era a obtenção das curvas H</t>
    </r>
    <r>
      <rPr>
        <vertAlign val="subscript"/>
        <sz val="11"/>
        <color rgb="FFFF0000"/>
        <rFont val="Calibri"/>
        <family val="2"/>
        <scheme val="minor"/>
      </rPr>
      <t>B</t>
    </r>
    <r>
      <rPr>
        <sz val="11"/>
        <color rgb="FFFF0000"/>
        <rFont val="Calibri"/>
        <family val="2"/>
        <scheme val="minor"/>
      </rPr>
      <t xml:space="preserve"> = f(Q) e </t>
    </r>
    <r>
      <rPr>
        <sz val="11"/>
        <color rgb="FFFF0000"/>
        <rFont val="Symbol"/>
        <family val="1"/>
        <charset val="2"/>
      </rPr>
      <t>h</t>
    </r>
    <r>
      <rPr>
        <vertAlign val="subscript"/>
        <sz val="11"/>
        <color rgb="FFFF0000"/>
        <rFont val="Calibri"/>
        <family val="2"/>
        <scheme val="minor"/>
      </rPr>
      <t>B</t>
    </r>
    <r>
      <rPr>
        <sz val="11"/>
        <color rgb="FFFF0000"/>
        <rFont val="Calibri"/>
        <family val="2"/>
        <scheme val="minor"/>
      </rPr>
      <t xml:space="preserve"> = f(Q)</t>
    </r>
  </si>
  <si>
    <t>f (Hz)</t>
  </si>
  <si>
    <r>
      <t>P</t>
    </r>
    <r>
      <rPr>
        <vertAlign val="subscript"/>
        <sz val="12"/>
        <rFont val="Calibri"/>
        <family val="2"/>
      </rPr>
      <t>ms</t>
    </r>
    <r>
      <rPr>
        <sz val="12"/>
        <rFont val="Calibri"/>
        <family val="2"/>
      </rPr>
      <t xml:space="preserve"> (KPa)</t>
    </r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</si>
  <si>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(pa)</t>
    </r>
  </si>
  <si>
    <r>
      <t>p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(pa)</t>
    </r>
  </si>
  <si>
    <r>
      <t>H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(m)</t>
    </r>
  </si>
  <si>
    <t>He (m)</t>
  </si>
  <si>
    <t>Hs (m)</t>
  </si>
  <si>
    <t>Hfinal (m)</t>
  </si>
  <si>
    <r>
      <t>Q</t>
    </r>
    <r>
      <rPr>
        <vertAlign val="subscript"/>
        <sz val="11"/>
        <color theme="1"/>
        <rFont val="Calibri"/>
        <family val="2"/>
        <scheme val="minor"/>
      </rPr>
      <t>3000</t>
    </r>
    <r>
      <rPr>
        <sz val="11"/>
        <color theme="1"/>
        <rFont val="Calibri"/>
        <family val="2"/>
        <scheme val="minor"/>
      </rPr>
      <t xml:space="preserve"> (m³/s)</t>
    </r>
  </si>
  <si>
    <r>
      <t>H</t>
    </r>
    <r>
      <rPr>
        <vertAlign val="subscript"/>
        <sz val="11"/>
        <color theme="1"/>
        <rFont val="Calibri"/>
        <family val="2"/>
        <scheme val="minor"/>
      </rPr>
      <t>B3000</t>
    </r>
    <r>
      <rPr>
        <sz val="11"/>
        <color theme="1"/>
        <rFont val="Calibri"/>
        <family val="2"/>
        <scheme val="minor"/>
      </rPr>
      <t xml:space="preserve"> (m³/s)</t>
    </r>
  </si>
  <si>
    <t>Experiência do inversor para obter a CCI real (ou prática)</t>
  </si>
  <si>
    <r>
      <t xml:space="preserve">Perda antes e depois da bomba  </t>
    </r>
    <r>
      <rPr>
        <sz val="11"/>
        <color rgb="FFFF0000"/>
        <rFont val="Calibri"/>
        <family val="2"/>
        <scheme val="minor"/>
      </rPr>
      <t>(18)</t>
    </r>
  </si>
  <si>
    <t>CCB para 3000 rpm (50 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</si>
</sst>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0" formatCode="0.000000"/>
    <numFmt numFmtId="171" formatCode="0.00000"/>
    <numFmt numFmtId="172" formatCode="0.0000"/>
    <numFmt numFmtId="173" formatCode="0.000"/>
    <numFmt numFmtId="174" formatCode="0.0"/>
    <numFmt numFmtId="175" formatCode="0.0E+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vertAlign val="superscript"/>
      <sz val="12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vertAlign val="subscript"/>
      <sz val="12"/>
      <name val="Calibri"/>
      <family val="2"/>
    </font>
    <font>
      <vertAlign val="subscript"/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Symbol"/>
      <family val="1"/>
      <charset val="2"/>
    </font>
    <font>
      <sz val="11"/>
      <color theme="3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70" fontId="0" fillId="0" borderId="1" xfId="0" applyNumberForma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173" fontId="0" fillId="0" borderId="1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7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justify" vertical="center"/>
    </xf>
    <xf numFmtId="0" fontId="1" fillId="2" borderId="5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justify"/>
    </xf>
    <xf numFmtId="0" fontId="1" fillId="2" borderId="5" xfId="0" applyFont="1" applyFill="1" applyBorder="1" applyAlignment="1">
      <alignment horizontal="center" vertical="justify"/>
    </xf>
    <xf numFmtId="0" fontId="1" fillId="0" borderId="0" xfId="0" applyFont="1" applyAlignment="1">
      <alignment horizontal="center"/>
    </xf>
    <xf numFmtId="17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174" fontId="0" fillId="0" borderId="0" xfId="0" applyNumberFormat="1"/>
    <xf numFmtId="0" fontId="0" fillId="2" borderId="0" xfId="0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5" fontId="0" fillId="0" borderId="1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21</xdr:row>
      <xdr:rowOff>123825</xdr:rowOff>
    </xdr:from>
    <xdr:to>
      <xdr:col>10</xdr:col>
      <xdr:colOff>561975</xdr:colOff>
      <xdr:row>50</xdr:row>
      <xdr:rowOff>85725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352925"/>
          <a:ext cx="7705725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B22" workbookViewId="0">
      <selection activeCell="L36" sqref="L36"/>
    </sheetView>
  </sheetViews>
  <sheetFormatPr defaultRowHeight="15" x14ac:dyDescent="0.25"/>
  <cols>
    <col min="2" max="2" width="12.42578125" customWidth="1"/>
    <col min="3" max="3" width="10.7109375" customWidth="1"/>
    <col min="4" max="5" width="10.5703125" bestFit="1" customWidth="1"/>
    <col min="6" max="6" width="18.85546875" customWidth="1"/>
    <col min="7" max="7" width="12.42578125" customWidth="1"/>
    <col min="8" max="8" width="11.28515625" customWidth="1"/>
    <col min="9" max="9" width="15.85546875" customWidth="1"/>
    <col min="10" max="10" width="17.85546875" customWidth="1"/>
    <col min="11" max="11" width="16.5703125" customWidth="1"/>
    <col min="12" max="12" width="15" customWidth="1"/>
  </cols>
  <sheetData>
    <row r="1" spans="1:13" ht="15.75" thickBot="1" x14ac:dyDescent="0.3">
      <c r="C1" s="7" t="s">
        <v>7</v>
      </c>
      <c r="D1" s="7"/>
    </row>
    <row r="2" spans="1:13" ht="32.25" thickBot="1" x14ac:dyDescent="0.3">
      <c r="A2" s="42" t="s">
        <v>48</v>
      </c>
      <c r="B2" s="8" t="s">
        <v>49</v>
      </c>
      <c r="C2" s="8" t="s">
        <v>50</v>
      </c>
      <c r="D2" s="8" t="s">
        <v>4</v>
      </c>
      <c r="E2" s="8" t="s">
        <v>51</v>
      </c>
      <c r="F2" s="43" t="s">
        <v>52</v>
      </c>
    </row>
    <row r="3" spans="1:13" ht="19.5" thickBot="1" x14ac:dyDescent="0.3">
      <c r="A3" s="9">
        <v>1</v>
      </c>
      <c r="B3" s="5">
        <v>12.5</v>
      </c>
      <c r="C3" s="5">
        <v>10</v>
      </c>
      <c r="D3" s="5">
        <v>100</v>
      </c>
      <c r="E3" s="5">
        <v>19.91</v>
      </c>
      <c r="F3" s="5">
        <v>20.8</v>
      </c>
      <c r="I3" s="11" t="s">
        <v>8</v>
      </c>
      <c r="J3" s="11" t="s">
        <v>9</v>
      </c>
      <c r="K3" s="11" t="s">
        <v>10</v>
      </c>
      <c r="L3" s="11" t="s">
        <v>21</v>
      </c>
    </row>
    <row r="4" spans="1:13" ht="16.5" thickBot="1" x14ac:dyDescent="0.3">
      <c r="A4" s="9">
        <v>2</v>
      </c>
      <c r="B4" s="5">
        <v>16</v>
      </c>
      <c r="C4" s="5">
        <v>7.5</v>
      </c>
      <c r="D4" s="5">
        <v>100</v>
      </c>
      <c r="E4" s="5">
        <v>21.61</v>
      </c>
      <c r="F4" s="5">
        <v>20.2</v>
      </c>
      <c r="I4" s="6">
        <v>25</v>
      </c>
      <c r="J4" s="6">
        <v>199</v>
      </c>
      <c r="K4" s="6">
        <v>0.54759999999999998</v>
      </c>
      <c r="L4" s="15">
        <v>3500</v>
      </c>
    </row>
    <row r="5" spans="1:13" ht="18.75" thickBot="1" x14ac:dyDescent="0.4">
      <c r="A5" s="9">
        <v>3</v>
      </c>
      <c r="B5" s="5">
        <v>22</v>
      </c>
      <c r="C5" s="5">
        <v>5</v>
      </c>
      <c r="D5" s="5">
        <v>100</v>
      </c>
      <c r="E5" s="5">
        <v>25.23</v>
      </c>
      <c r="F5" s="5">
        <v>19.399999999999999</v>
      </c>
      <c r="I5" s="6" t="s">
        <v>11</v>
      </c>
      <c r="J5" s="13" t="s">
        <v>12</v>
      </c>
      <c r="K5" s="13" t="s">
        <v>13</v>
      </c>
      <c r="L5" s="13" t="s">
        <v>14</v>
      </c>
      <c r="M5" s="6" t="s">
        <v>15</v>
      </c>
    </row>
    <row r="6" spans="1:13" ht="16.5" thickBot="1" x14ac:dyDescent="0.3">
      <c r="A6" s="9">
        <v>4</v>
      </c>
      <c r="B6" s="5">
        <v>27</v>
      </c>
      <c r="C6" s="5">
        <v>2</v>
      </c>
      <c r="D6" s="5">
        <v>100</v>
      </c>
      <c r="E6" s="5">
        <v>31.63</v>
      </c>
      <c r="F6" s="5">
        <v>18.5</v>
      </c>
      <c r="I6" s="12">
        <v>106.9</v>
      </c>
      <c r="J6" s="12">
        <v>78.5</v>
      </c>
      <c r="K6" s="6">
        <v>205</v>
      </c>
      <c r="L6" s="6">
        <v>95</v>
      </c>
      <c r="M6" s="6">
        <v>32</v>
      </c>
    </row>
    <row r="7" spans="1:13" ht="18.75" x14ac:dyDescent="0.35">
      <c r="I7" s="6" t="s">
        <v>16</v>
      </c>
      <c r="J7" s="6" t="s">
        <v>17</v>
      </c>
      <c r="K7" s="6" t="s">
        <v>19</v>
      </c>
      <c r="L7" s="6" t="s">
        <v>18</v>
      </c>
      <c r="M7" s="6" t="s">
        <v>20</v>
      </c>
    </row>
    <row r="8" spans="1:13" x14ac:dyDescent="0.25">
      <c r="I8" s="6">
        <v>80</v>
      </c>
      <c r="J8" s="6">
        <v>997</v>
      </c>
      <c r="K8" s="14">
        <v>8.9199999999999999E-7</v>
      </c>
      <c r="L8" s="13">
        <v>13534</v>
      </c>
      <c r="M8" s="13">
        <v>9.8000000000000007</v>
      </c>
    </row>
    <row r="9" spans="1:13" x14ac:dyDescent="0.25">
      <c r="B9" s="13" t="s">
        <v>53</v>
      </c>
      <c r="C9" s="13" t="s">
        <v>54</v>
      </c>
      <c r="E9" s="13" t="s">
        <v>55</v>
      </c>
      <c r="F9" s="13" t="s">
        <v>54</v>
      </c>
      <c r="I9" s="13" t="s">
        <v>22</v>
      </c>
      <c r="J9" s="13" t="s">
        <v>23</v>
      </c>
      <c r="K9" s="13" t="s">
        <v>24</v>
      </c>
      <c r="L9" s="13" t="s">
        <v>25</v>
      </c>
    </row>
    <row r="10" spans="1:13" x14ac:dyDescent="0.25">
      <c r="B10" s="13">
        <v>1</v>
      </c>
      <c r="C10" s="23">
        <v>6886.7</v>
      </c>
      <c r="E10" s="6">
        <v>1</v>
      </c>
      <c r="F10" s="6">
        <f>13600*9.8/1000</f>
        <v>133.28</v>
      </c>
      <c r="I10" s="13">
        <v>40.799999999999997</v>
      </c>
      <c r="J10" s="13">
        <v>13.1</v>
      </c>
      <c r="K10" s="13">
        <v>26.6</v>
      </c>
      <c r="L10" s="13">
        <v>5.57</v>
      </c>
    </row>
    <row r="11" spans="1:13" x14ac:dyDescent="0.25">
      <c r="I11" s="13" t="s">
        <v>26</v>
      </c>
      <c r="J11" s="13"/>
      <c r="K11" s="13" t="s">
        <v>27</v>
      </c>
      <c r="L11" s="13" t="s">
        <v>56</v>
      </c>
    </row>
    <row r="12" spans="1:13" x14ac:dyDescent="0.25">
      <c r="C12" s="35" t="s">
        <v>73</v>
      </c>
      <c r="D12" s="35"/>
      <c r="E12" s="35"/>
      <c r="F12" s="13"/>
      <c r="G12" s="35" t="s">
        <v>74</v>
      </c>
      <c r="H12" s="35"/>
      <c r="I12" s="13">
        <v>9</v>
      </c>
      <c r="K12" s="13">
        <v>12</v>
      </c>
      <c r="L12" s="13">
        <f>0.000046</f>
        <v>4.6E-5</v>
      </c>
    </row>
    <row r="13" spans="1:13" x14ac:dyDescent="0.25">
      <c r="B13" s="28">
        <v>1</v>
      </c>
      <c r="C13" s="35"/>
      <c r="D13" s="35"/>
      <c r="E13" s="35"/>
      <c r="F13" s="28">
        <v>2</v>
      </c>
      <c r="G13" s="35"/>
      <c r="H13" s="35"/>
    </row>
    <row r="14" spans="1:13" ht="15.75" thickBot="1" x14ac:dyDescent="0.3">
      <c r="C14" s="36"/>
      <c r="D14" s="36"/>
      <c r="E14" s="36"/>
      <c r="G14" s="36"/>
      <c r="H14" s="36"/>
    </row>
    <row r="15" spans="1:13" ht="18.75" thickBot="1" x14ac:dyDescent="0.3">
      <c r="A15" s="42" t="s">
        <v>48</v>
      </c>
      <c r="B15" s="1" t="s">
        <v>36</v>
      </c>
      <c r="C15" s="1" t="s">
        <v>62</v>
      </c>
      <c r="D15" s="1" t="s">
        <v>63</v>
      </c>
      <c r="E15" s="1" t="s">
        <v>64</v>
      </c>
      <c r="F15" s="1" t="s">
        <v>65</v>
      </c>
      <c r="G15" s="1" t="s">
        <v>66</v>
      </c>
      <c r="H15" s="1" t="s">
        <v>67</v>
      </c>
      <c r="I15" s="1" t="s">
        <v>68</v>
      </c>
      <c r="J15" s="1" t="s">
        <v>69</v>
      </c>
      <c r="K15" s="1" t="s">
        <v>70</v>
      </c>
      <c r="L15" s="1" t="s">
        <v>71</v>
      </c>
      <c r="M15" s="1" t="s">
        <v>72</v>
      </c>
    </row>
    <row r="16" spans="1:13" ht="16.5" thickBot="1" x14ac:dyDescent="0.3">
      <c r="A16" s="9">
        <v>1</v>
      </c>
      <c r="B16" s="17">
        <f>((D3/1000)*$K$4/E3)</f>
        <v>2.7503766951280763E-3</v>
      </c>
      <c r="C16" s="21">
        <f>B16/($L$10/10000)</f>
        <v>4.9378396680934946</v>
      </c>
      <c r="D16" s="21">
        <f>((B3-C3)*$C$10)/($J$8*9.8)</f>
        <v>1.7620975170409185</v>
      </c>
      <c r="E16" s="21">
        <f>(D16*2*9.8)/C16^2</f>
        <v>1.4164852028234995</v>
      </c>
      <c r="F16" s="21">
        <f>(F3/100)*(($L$8-$J$8)/$J$8)</f>
        <v>2.6155426278836509</v>
      </c>
      <c r="G16" s="18">
        <f>(F16*($K$10/1000)*2*9.8)/(($J$4/100)*C16^2)</f>
        <v>2.810428012519366E-2</v>
      </c>
      <c r="H16" s="21">
        <f>(E16*($K$10/1000))/G16</f>
        <v>1.3406679063566818</v>
      </c>
      <c r="I16" s="49">
        <f>(($K$10/1000)/$K$8)*((F16*($K$10/1000)*2*9.8)/($J$4/100))^0.5</f>
        <v>24685.390361023241</v>
      </c>
      <c r="J16" s="21">
        <f>($K$10/1000)/$L$12</f>
        <v>578.26086956521749</v>
      </c>
      <c r="K16" s="1">
        <v>2.4E-2</v>
      </c>
      <c r="L16" s="17">
        <f>((F16*($K$10/1000)*2*9.8*($L$10/10000)^2)/(K16*($J$4/100)))^0.5</f>
        <v>2.9762731836872444E-3</v>
      </c>
      <c r="M16" s="19">
        <f>B16/L16</f>
        <v>0.92410088905907839</v>
      </c>
    </row>
    <row r="17" spans="1:13" ht="16.5" thickBot="1" x14ac:dyDescent="0.3">
      <c r="A17" s="9">
        <v>2</v>
      </c>
      <c r="B17" s="17">
        <f t="shared" ref="B17:B19" si="0">((D4/1000)*$K$4/E4)</f>
        <v>2.5340120314669137E-3</v>
      </c>
      <c r="C17" s="21">
        <f t="shared" ref="C17:C19" si="1">B17/($L$10/10000)</f>
        <v>4.5493932342314434</v>
      </c>
      <c r="D17" s="21">
        <f t="shared" ref="D17:D19" si="2">((B4-C4)*$C$10)/($J$8*9.8)</f>
        <v>5.9911315579391227</v>
      </c>
      <c r="E17" s="21">
        <f t="shared" ref="E17:E19" si="3">(D17*2*9.8)/C17^2</f>
        <v>5.6735903182871485</v>
      </c>
      <c r="F17" s="21">
        <f t="shared" ref="F17:F19" si="4">(F4/100)*(($L$8-$J$8)/$J$8)</f>
        <v>2.5400942828485453</v>
      </c>
      <c r="G17" s="18">
        <f t="shared" ref="G17:G19" si="5">(F17*($K$10/1000)*2*9.8)/(($J$4/100)*C17^2)</f>
        <v>3.2153445194191603E-2</v>
      </c>
      <c r="H17" s="21">
        <f t="shared" ref="H17:H19" si="6">(E17*($K$10/1000))/G17</f>
        <v>4.6936650662150772</v>
      </c>
      <c r="I17" s="49">
        <f t="shared" ref="I17:I19" si="7">(($K$10/1000)/$K$8)*((F17*($K$10/1000)*2*9.8)/($J$4/100))^0.5</f>
        <v>24326.745771982598</v>
      </c>
      <c r="J17" s="21">
        <f t="shared" ref="J17:J19" si="8">($K$10/1000)/$L$12</f>
        <v>578.26086956521749</v>
      </c>
      <c r="K17" s="1">
        <v>2.4E-2</v>
      </c>
      <c r="L17" s="17">
        <f t="shared" ref="L17:L19" si="9">((F17*($K$10/1000)*2*9.8*($L$10/10000)^2)/(K17*($J$4/100)))^0.5</f>
        <v>2.933032049671329E-3</v>
      </c>
      <c r="M17" s="19">
        <f t="shared" ref="M17:M19" si="10">B17/L17</f>
        <v>0.86395647526281583</v>
      </c>
    </row>
    <row r="18" spans="1:13" ht="16.5" thickBot="1" x14ac:dyDescent="0.3">
      <c r="A18" s="9">
        <v>3</v>
      </c>
      <c r="B18" s="17">
        <f t="shared" si="0"/>
        <v>2.1704320253666271E-3</v>
      </c>
      <c r="C18" s="21">
        <f t="shared" si="1"/>
        <v>3.8966463651106413</v>
      </c>
      <c r="D18" s="21">
        <f t="shared" si="2"/>
        <v>11.982263115878245</v>
      </c>
      <c r="E18" s="21">
        <f t="shared" si="3"/>
        <v>15.467243966300964</v>
      </c>
      <c r="F18" s="21">
        <f t="shared" si="4"/>
        <v>2.439496489468405</v>
      </c>
      <c r="G18" s="18">
        <f t="shared" si="5"/>
        <v>4.2092317879995525E-2</v>
      </c>
      <c r="H18" s="21">
        <f t="shared" si="6"/>
        <v>9.774436529643765</v>
      </c>
      <c r="I18" s="49">
        <f t="shared" si="7"/>
        <v>23840.161701621044</v>
      </c>
      <c r="J18" s="21">
        <f t="shared" si="8"/>
        <v>578.26086956521749</v>
      </c>
      <c r="K18" s="1">
        <v>2.4E-2</v>
      </c>
      <c r="L18" s="17">
        <f t="shared" si="9"/>
        <v>2.8743654821572449E-3</v>
      </c>
      <c r="M18" s="19">
        <f t="shared" si="10"/>
        <v>0.75509953025795884</v>
      </c>
    </row>
    <row r="19" spans="1:13" ht="16.5" thickBot="1" x14ac:dyDescent="0.3">
      <c r="A19" s="9">
        <v>4</v>
      </c>
      <c r="B19" s="17">
        <f t="shared" si="0"/>
        <v>1.731267783749605E-3</v>
      </c>
      <c r="C19" s="21">
        <f t="shared" si="1"/>
        <v>3.1082006889579983</v>
      </c>
      <c r="D19" s="21">
        <f t="shared" si="2"/>
        <v>17.620975170409185</v>
      </c>
      <c r="E19" s="21">
        <f t="shared" si="3"/>
        <v>35.749329918149236</v>
      </c>
      <c r="F19" s="21">
        <f>(F6/100)*(($L$8-$J$8)/$J$8)</f>
        <v>2.3263239719157469</v>
      </c>
      <c r="G19" s="18">
        <f t="shared" si="5"/>
        <v>6.3086541995615281E-2</v>
      </c>
      <c r="H19" s="21">
        <f t="shared" si="6"/>
        <v>15.07345537957783</v>
      </c>
      <c r="I19" s="49">
        <f t="shared" si="7"/>
        <v>23280.601449002555</v>
      </c>
      <c r="J19" s="21">
        <f t="shared" si="8"/>
        <v>578.26086956521749</v>
      </c>
      <c r="K19" s="1">
        <v>2.4E-2</v>
      </c>
      <c r="L19" s="17">
        <f>((F19*($K$10/1000)*2*9.8*($L$10/10000)^2)/(K19*($J$4/100)))^0.5</f>
        <v>2.8069003074053301E-3</v>
      </c>
      <c r="M19" s="19">
        <f t="shared" si="10"/>
        <v>0.61678990849160986</v>
      </c>
    </row>
    <row r="20" spans="1:13" ht="15.75" x14ac:dyDescent="0.25">
      <c r="A20" s="48"/>
      <c r="B20" s="50">
        <v>3</v>
      </c>
      <c r="C20" s="40">
        <v>4</v>
      </c>
      <c r="D20" s="40">
        <v>5</v>
      </c>
      <c r="E20" s="40">
        <v>6</v>
      </c>
      <c r="F20" s="40">
        <v>7</v>
      </c>
      <c r="G20" s="40">
        <v>8</v>
      </c>
      <c r="H20" s="40">
        <v>9</v>
      </c>
      <c r="I20" s="40">
        <v>10</v>
      </c>
      <c r="J20" s="40">
        <v>11</v>
      </c>
      <c r="K20" s="29">
        <v>12</v>
      </c>
      <c r="L20" s="40">
        <v>13</v>
      </c>
      <c r="M20" s="40">
        <v>14</v>
      </c>
    </row>
    <row r="21" spans="1:13" ht="15.75" x14ac:dyDescent="0.25">
      <c r="A21" s="48"/>
      <c r="B21" s="25"/>
    </row>
    <row r="22" spans="1:13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3" x14ac:dyDescent="0.25"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3" x14ac:dyDescent="0.25"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3" x14ac:dyDescent="0.25"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 x14ac:dyDescent="0.25"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 x14ac:dyDescent="0.25"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3" x14ac:dyDescent="0.25"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3" x14ac:dyDescent="0.25"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3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3" x14ac:dyDescent="0.25"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3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2:12" x14ac:dyDescent="0.25"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2:12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2:12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2:12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28">
        <v>15</v>
      </c>
    </row>
    <row r="37" spans="2:12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2:12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2:12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2:12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2:12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2:12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2:12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2:12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2:12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2:12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2:12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2:12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2:11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2:11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2:11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</row>
  </sheetData>
  <mergeCells count="3">
    <mergeCell ref="C1:D1"/>
    <mergeCell ref="C12:E14"/>
    <mergeCell ref="G12:H1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9" workbookViewId="0">
      <selection activeCell="B17" sqref="B17"/>
    </sheetView>
  </sheetViews>
  <sheetFormatPr defaultRowHeight="15" x14ac:dyDescent="0.25"/>
  <cols>
    <col min="2" max="2" width="13.42578125" customWidth="1"/>
    <col min="3" max="3" width="13.28515625" customWidth="1"/>
    <col min="4" max="4" width="13.7109375" customWidth="1"/>
    <col min="5" max="6" width="10.85546875" customWidth="1"/>
    <col min="7" max="7" width="11.42578125" customWidth="1"/>
    <col min="9" max="9" width="15.28515625" customWidth="1"/>
    <col min="10" max="10" width="14.5703125" customWidth="1"/>
    <col min="11" max="11" width="15.28515625" customWidth="1"/>
    <col min="12" max="12" width="15.5703125" customWidth="1"/>
    <col min="13" max="13" width="15.140625" customWidth="1"/>
  </cols>
  <sheetData>
    <row r="1" spans="1:13" ht="15.75" thickBot="1" x14ac:dyDescent="0.3">
      <c r="C1" s="7" t="s">
        <v>7</v>
      </c>
      <c r="D1" s="7"/>
    </row>
    <row r="2" spans="1:13" ht="19.5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I2" s="11" t="s">
        <v>8</v>
      </c>
      <c r="J2" s="11" t="s">
        <v>9</v>
      </c>
      <c r="K2" s="11" t="s">
        <v>10</v>
      </c>
      <c r="L2" s="11" t="s">
        <v>21</v>
      </c>
    </row>
    <row r="3" spans="1:13" ht="16.5" thickBot="1" x14ac:dyDescent="0.3">
      <c r="A3" s="4">
        <v>1</v>
      </c>
      <c r="B3" s="5">
        <v>-85</v>
      </c>
      <c r="C3" s="5">
        <v>296</v>
      </c>
      <c r="D3" s="5">
        <v>3512</v>
      </c>
      <c r="E3" s="5" t="s">
        <v>6</v>
      </c>
      <c r="F3" s="5" t="s">
        <v>6</v>
      </c>
      <c r="I3" s="6">
        <v>25</v>
      </c>
      <c r="J3" s="6">
        <v>199</v>
      </c>
      <c r="K3" s="6">
        <v>0.54759999999999998</v>
      </c>
      <c r="L3" s="15">
        <v>3500</v>
      </c>
    </row>
    <row r="4" spans="1:13" ht="18.75" thickBot="1" x14ac:dyDescent="0.4">
      <c r="A4" s="4">
        <v>2</v>
      </c>
      <c r="B4" s="5">
        <v>-105</v>
      </c>
      <c r="C4" s="5">
        <v>282</v>
      </c>
      <c r="D4" s="5">
        <v>3483</v>
      </c>
      <c r="E4" s="5">
        <v>100</v>
      </c>
      <c r="F4" s="5">
        <v>118.24</v>
      </c>
      <c r="I4" s="6" t="s">
        <v>11</v>
      </c>
      <c r="J4" s="13" t="s">
        <v>12</v>
      </c>
      <c r="K4" s="13" t="s">
        <v>13</v>
      </c>
      <c r="L4" s="13" t="s">
        <v>14</v>
      </c>
      <c r="M4" s="6" t="s">
        <v>15</v>
      </c>
    </row>
    <row r="5" spans="1:13" ht="20.25" customHeight="1" thickBot="1" x14ac:dyDescent="0.3">
      <c r="A5" s="4">
        <v>3</v>
      </c>
      <c r="B5" s="5">
        <v>-115</v>
      </c>
      <c r="C5" s="5">
        <v>268</v>
      </c>
      <c r="D5" s="5">
        <v>3451</v>
      </c>
      <c r="E5" s="5">
        <v>100</v>
      </c>
      <c r="F5" s="5">
        <v>52.01</v>
      </c>
      <c r="I5" s="12">
        <v>106.9</v>
      </c>
      <c r="J5" s="12">
        <v>78.5</v>
      </c>
      <c r="K5" s="6">
        <v>205</v>
      </c>
      <c r="L5" s="6">
        <v>95</v>
      </c>
      <c r="M5" s="6">
        <v>32</v>
      </c>
    </row>
    <row r="6" spans="1:13" ht="20.25" customHeight="1" thickBot="1" x14ac:dyDescent="0.4">
      <c r="A6" s="4">
        <v>4</v>
      </c>
      <c r="B6" s="5">
        <v>-130</v>
      </c>
      <c r="C6" s="5">
        <v>254</v>
      </c>
      <c r="D6" s="5">
        <v>3438</v>
      </c>
      <c r="E6" s="5">
        <v>100</v>
      </c>
      <c r="F6" s="5">
        <v>38.01</v>
      </c>
      <c r="I6" s="6" t="s">
        <v>16</v>
      </c>
      <c r="J6" s="6" t="s">
        <v>17</v>
      </c>
      <c r="K6" s="6" t="s">
        <v>19</v>
      </c>
      <c r="L6" s="6" t="s">
        <v>18</v>
      </c>
      <c r="M6" s="6" t="s">
        <v>20</v>
      </c>
    </row>
    <row r="7" spans="1:13" ht="16.5" thickBot="1" x14ac:dyDescent="0.3">
      <c r="A7" s="4">
        <v>5</v>
      </c>
      <c r="B7" s="5">
        <v>-150</v>
      </c>
      <c r="C7" s="5">
        <v>240</v>
      </c>
      <c r="D7" s="5">
        <v>3421</v>
      </c>
      <c r="E7" s="5">
        <v>100</v>
      </c>
      <c r="F7" s="5">
        <v>30.3</v>
      </c>
      <c r="I7" s="6">
        <v>80</v>
      </c>
      <c r="J7" s="6">
        <v>997</v>
      </c>
      <c r="K7" s="14">
        <v>8.9199999999999999E-7</v>
      </c>
      <c r="L7" s="13">
        <v>13534</v>
      </c>
      <c r="M7" s="13">
        <v>9.8000000000000007</v>
      </c>
    </row>
    <row r="8" spans="1:13" ht="16.5" thickBot="1" x14ac:dyDescent="0.3">
      <c r="A8" s="4">
        <v>6</v>
      </c>
      <c r="B8" s="5">
        <v>-170</v>
      </c>
      <c r="C8" s="5">
        <v>226</v>
      </c>
      <c r="D8" s="5">
        <v>3410</v>
      </c>
      <c r="E8" s="5">
        <v>100</v>
      </c>
      <c r="F8" s="5">
        <v>25.65</v>
      </c>
      <c r="I8" s="13" t="s">
        <v>22</v>
      </c>
      <c r="J8" s="13" t="s">
        <v>23</v>
      </c>
      <c r="K8" s="13" t="s">
        <v>24</v>
      </c>
      <c r="L8" s="13" t="s">
        <v>25</v>
      </c>
    </row>
    <row r="9" spans="1:13" ht="16.5" thickBot="1" x14ac:dyDescent="0.3">
      <c r="A9" s="4">
        <v>7</v>
      </c>
      <c r="B9" s="5">
        <v>-190</v>
      </c>
      <c r="C9" s="5">
        <v>212</v>
      </c>
      <c r="D9" s="5">
        <v>3401</v>
      </c>
      <c r="E9" s="5">
        <v>100</v>
      </c>
      <c r="F9" s="5">
        <v>22.14</v>
      </c>
      <c r="I9" s="13">
        <v>40.799999999999997</v>
      </c>
      <c r="J9" s="13">
        <v>13.1</v>
      </c>
      <c r="K9" s="13">
        <v>26.6</v>
      </c>
      <c r="L9" s="13">
        <v>5.57</v>
      </c>
    </row>
    <row r="10" spans="1:13" ht="16.5" thickBot="1" x14ac:dyDescent="0.3">
      <c r="A10" s="4">
        <v>8</v>
      </c>
      <c r="B10" s="5">
        <v>-210</v>
      </c>
      <c r="C10" s="5">
        <v>198</v>
      </c>
      <c r="D10" s="5">
        <v>3412</v>
      </c>
      <c r="E10" s="5">
        <v>100</v>
      </c>
      <c r="F10" s="5">
        <v>20.36</v>
      </c>
      <c r="I10" s="13" t="s">
        <v>26</v>
      </c>
      <c r="J10" s="13"/>
      <c r="K10" s="13" t="s">
        <v>27</v>
      </c>
      <c r="L10" s="13" t="s">
        <v>56</v>
      </c>
    </row>
    <row r="11" spans="1:13" x14ac:dyDescent="0.25">
      <c r="I11" s="13">
        <v>9</v>
      </c>
      <c r="J11" s="13"/>
      <c r="K11" s="13">
        <v>12</v>
      </c>
      <c r="L11" s="13" t="s">
        <v>57</v>
      </c>
    </row>
    <row r="12" spans="1:13" x14ac:dyDescent="0.25">
      <c r="B12" s="13" t="s">
        <v>53</v>
      </c>
      <c r="C12" s="13" t="s">
        <v>54</v>
      </c>
      <c r="E12" s="13" t="s">
        <v>55</v>
      </c>
      <c r="F12" s="13" t="s">
        <v>54</v>
      </c>
      <c r="J12" s="44"/>
    </row>
    <row r="13" spans="1:13" x14ac:dyDescent="0.25">
      <c r="B13" s="13">
        <v>1</v>
      </c>
      <c r="C13" s="23">
        <v>6886.7</v>
      </c>
      <c r="E13" s="6">
        <v>1</v>
      </c>
      <c r="F13" s="6">
        <f>13600*9.8/1000</f>
        <v>133.28</v>
      </c>
    </row>
    <row r="14" spans="1:13" ht="18.75" thickBot="1" x14ac:dyDescent="0.4">
      <c r="C14" s="7" t="s">
        <v>40</v>
      </c>
      <c r="D14" s="7"/>
      <c r="E14" s="7"/>
      <c r="F14" s="7"/>
      <c r="G14" s="7"/>
      <c r="H14" s="7"/>
      <c r="I14" s="7"/>
      <c r="J14" s="7"/>
      <c r="K14" s="7"/>
      <c r="L14" s="28">
        <v>1</v>
      </c>
    </row>
    <row r="15" spans="1:13" ht="18.75" thickBot="1" x14ac:dyDescent="0.3">
      <c r="A15" s="2" t="s">
        <v>0</v>
      </c>
      <c r="B15" s="1" t="s">
        <v>36</v>
      </c>
      <c r="C15" s="1" t="s">
        <v>28</v>
      </c>
      <c r="D15" s="1" t="s">
        <v>29</v>
      </c>
      <c r="E15" s="1" t="s">
        <v>30</v>
      </c>
      <c r="F15" s="1" t="s">
        <v>31</v>
      </c>
      <c r="G15" s="22" t="s">
        <v>32</v>
      </c>
      <c r="H15" s="22" t="s">
        <v>33</v>
      </c>
      <c r="I15" s="22" t="s">
        <v>34</v>
      </c>
      <c r="J15" s="22" t="s">
        <v>35</v>
      </c>
      <c r="K15" s="22" t="s">
        <v>37</v>
      </c>
      <c r="L15" s="22" t="s">
        <v>38</v>
      </c>
      <c r="M15" s="22" t="s">
        <v>39</v>
      </c>
    </row>
    <row r="16" spans="1:13" ht="16.5" thickBot="1" x14ac:dyDescent="0.3">
      <c r="A16" s="4">
        <v>1</v>
      </c>
      <c r="B16" s="1">
        <v>0</v>
      </c>
      <c r="C16" s="1">
        <f>B16/($J$9/10000)</f>
        <v>0</v>
      </c>
      <c r="D16" s="21">
        <f>(C16*($I$9/1000))/$K$7</f>
        <v>0</v>
      </c>
      <c r="E16" s="1">
        <f>B16/($L$9/10000)</f>
        <v>0</v>
      </c>
      <c r="F16" s="21">
        <f>(E16*($I$9/1000))/$K$7</f>
        <v>0</v>
      </c>
      <c r="G16" s="1">
        <v>1</v>
      </c>
      <c r="H16" s="1">
        <v>1</v>
      </c>
      <c r="I16" s="21">
        <f>((B3/1000)*13600*9.8+($I$11/100)*$J$7*9.8)</f>
        <v>-10449.446000000002</v>
      </c>
      <c r="J16" s="21">
        <f>((C3*1000)+($K$11/100)*$J$7*9.8)</f>
        <v>297172.47200000001</v>
      </c>
      <c r="K16" s="21">
        <f>($M$5/100)+((J16-I16)/($J$7*9.8))+((G16*E16^2-H16*C16^2)/(2*9.8))</f>
        <v>31.804444967555728</v>
      </c>
      <c r="L16" s="21">
        <f>($L$3/D3)*B16</f>
        <v>0</v>
      </c>
      <c r="M16" s="21">
        <f>(($L$3/D3)^2)*K16</f>
        <v>31.587473833008406</v>
      </c>
    </row>
    <row r="17" spans="1:13" ht="16.5" thickBot="1" x14ac:dyDescent="0.3">
      <c r="A17" s="4">
        <v>2</v>
      </c>
      <c r="B17" s="16">
        <f t="shared" ref="B17:B23" si="0">((E4/1000)*$K$3)/F4</f>
        <v>4.6312584573748313E-4</v>
      </c>
      <c r="C17" s="19">
        <f t="shared" ref="C17:C23" si="1">B17/($J$9/10000)</f>
        <v>0.35353117995227723</v>
      </c>
      <c r="D17" s="21">
        <f t="shared" ref="D17:D23" si="2">(C17*($I$9/1000))/$K$7</f>
        <v>16170.484464184876</v>
      </c>
      <c r="E17" s="19">
        <f t="shared" ref="E17:E23" si="3">B17/($L$9/10000)</f>
        <v>0.8314647140708854</v>
      </c>
      <c r="F17" s="21">
        <f t="shared" ref="F17:F23" si="4">(E17*($I$9/1000))/$K$7</f>
        <v>38031.121450775921</v>
      </c>
      <c r="G17" s="1">
        <v>1</v>
      </c>
      <c r="H17" s="1">
        <v>1</v>
      </c>
      <c r="I17" s="21">
        <f t="shared" ref="I17:I23" si="5">((B4/1000)*13600*9.8+($I$11/100)*$J$7*9.8)</f>
        <v>-13115.046000000002</v>
      </c>
      <c r="J17" s="21">
        <f t="shared" ref="J17:J23" si="6">((C4*1000)+($K$11/100)*$J$7*9.8)</f>
        <v>283172.47200000001</v>
      </c>
      <c r="K17" s="21">
        <f>($M$5/100)+((J17-I17)/($J$7*9.8))+((G17*E17^2-H17*C17^2)/(2*9.8))</f>
        <v>30.673288755435692</v>
      </c>
      <c r="L17" s="20">
        <f t="shared" ref="L17:L23" si="7">($L$3/D4)*B17</f>
        <v>4.6538629344851883E-4</v>
      </c>
      <c r="M17" s="21">
        <f t="shared" ref="M17:M23" si="8">(($L$3/D4)^2)*K17</f>
        <v>30.973442909000624</v>
      </c>
    </row>
    <row r="18" spans="1:13" ht="16.5" thickBot="1" x14ac:dyDescent="0.3">
      <c r="A18" s="4">
        <v>3</v>
      </c>
      <c r="B18" s="17">
        <f t="shared" si="0"/>
        <v>1.0528744472216882E-3</v>
      </c>
      <c r="C18" s="19">
        <f t="shared" si="1"/>
        <v>0.80372095207762462</v>
      </c>
      <c r="D18" s="21">
        <f t="shared" si="2"/>
        <v>36762.124265433944</v>
      </c>
      <c r="E18" s="21">
        <f t="shared" si="3"/>
        <v>1.8902593307391171</v>
      </c>
      <c r="F18" s="21">
        <f t="shared" si="4"/>
        <v>86460.292258022382</v>
      </c>
      <c r="G18" s="1">
        <v>1</v>
      </c>
      <c r="H18" s="1">
        <v>1</v>
      </c>
      <c r="I18" s="21">
        <f t="shared" si="5"/>
        <v>-14447.846000000001</v>
      </c>
      <c r="J18" s="21">
        <f t="shared" si="6"/>
        <v>269172.47200000001</v>
      </c>
      <c r="K18" s="21">
        <f t="shared" ref="K18" si="9">($M$5/100)+((J18-I18)/($J$7*9.8))+((G18*E18^2-H18*C18^2)/(2*9.8))</f>
        <v>29.497275071629783</v>
      </c>
      <c r="L18" s="20">
        <f t="shared" si="7"/>
        <v>1.0678239829834566E-3</v>
      </c>
      <c r="M18" s="21">
        <f t="shared" si="8"/>
        <v>30.340872696071351</v>
      </c>
    </row>
    <row r="19" spans="1:13" ht="16.5" thickBot="1" x14ac:dyDescent="0.3">
      <c r="A19" s="4">
        <v>4</v>
      </c>
      <c r="B19" s="17">
        <f t="shared" si="0"/>
        <v>1.4406735069718497E-3</v>
      </c>
      <c r="C19" s="21">
        <f t="shared" si="1"/>
        <v>1.0997507686808012</v>
      </c>
      <c r="D19" s="21">
        <f t="shared" si="2"/>
        <v>50302.501527103908</v>
      </c>
      <c r="E19" s="21">
        <f t="shared" si="3"/>
        <v>2.5864874451918305</v>
      </c>
      <c r="F19" s="21">
        <f t="shared" si="4"/>
        <v>118305.70377110614</v>
      </c>
      <c r="G19" s="1">
        <v>1</v>
      </c>
      <c r="H19" s="1">
        <v>1</v>
      </c>
      <c r="I19" s="21">
        <f t="shared" si="5"/>
        <v>-16447.046000000002</v>
      </c>
      <c r="J19" s="21">
        <f t="shared" si="6"/>
        <v>255172.47200000001</v>
      </c>
      <c r="K19" s="21">
        <f>($M$5/100)+((J19-I19)/($J$7*9.8))+((G19*E19^2-H19*C19^2)/(2*9.8))</f>
        <v>28.39929196539968</v>
      </c>
      <c r="L19" s="20">
        <f t="shared" si="7"/>
        <v>1.4666542392092711E-3</v>
      </c>
      <c r="M19" s="21">
        <f t="shared" si="8"/>
        <v>29.432818789837338</v>
      </c>
    </row>
    <row r="20" spans="1:13" ht="16.5" thickBot="1" x14ac:dyDescent="0.3">
      <c r="A20" s="4">
        <v>5</v>
      </c>
      <c r="B20" s="17">
        <f t="shared" si="0"/>
        <v>1.8072607260726074E-3</v>
      </c>
      <c r="C20" s="21">
        <f t="shared" si="1"/>
        <v>1.3795883405134408</v>
      </c>
      <c r="D20" s="21">
        <f t="shared" si="2"/>
        <v>63102.246965188766</v>
      </c>
      <c r="E20" s="21">
        <f t="shared" si="3"/>
        <v>3.2446332604535142</v>
      </c>
      <c r="F20" s="21">
        <f t="shared" si="4"/>
        <v>148409.23433464504</v>
      </c>
      <c r="G20" s="1">
        <v>1</v>
      </c>
      <c r="H20" s="1">
        <v>1</v>
      </c>
      <c r="I20" s="21">
        <f t="shared" si="5"/>
        <v>-19112.646000000001</v>
      </c>
      <c r="J20" s="21">
        <f t="shared" si="6"/>
        <v>241172.47200000001</v>
      </c>
      <c r="K20" s="21">
        <f>($M$5/100)+((J20-I20)/($J$7*9.8))+((G20*E20^2-H20*C20^2)/(2*9.8))</f>
        <v>27.3996442318048</v>
      </c>
      <c r="L20" s="20">
        <f t="shared" si="7"/>
        <v>1.8489951889079585E-3</v>
      </c>
      <c r="M20" s="21">
        <f t="shared" si="8"/>
        <v>28.67971716891148</v>
      </c>
    </row>
    <row r="21" spans="1:13" ht="16.5" thickBot="1" x14ac:dyDescent="0.3">
      <c r="A21" s="4">
        <v>6</v>
      </c>
      <c r="B21" s="17">
        <f t="shared" si="0"/>
        <v>2.1348927875243667E-3</v>
      </c>
      <c r="C21" s="21">
        <f t="shared" si="1"/>
        <v>1.6296891507819593</v>
      </c>
      <c r="D21" s="21">
        <f t="shared" si="2"/>
        <v>74541.835596304853</v>
      </c>
      <c r="E21" s="21">
        <f t="shared" si="3"/>
        <v>3.8328416293076604</v>
      </c>
      <c r="F21" s="21">
        <f t="shared" si="4"/>
        <v>175313.83237191985</v>
      </c>
      <c r="G21" s="1">
        <v>1</v>
      </c>
      <c r="H21" s="1">
        <v>1</v>
      </c>
      <c r="I21" s="21">
        <f t="shared" si="5"/>
        <v>-21778.246000000003</v>
      </c>
      <c r="J21" s="21">
        <f t="shared" si="6"/>
        <v>227172.47200000001</v>
      </c>
      <c r="K21" s="21">
        <f t="shared" ref="K21:K23" si="10">($M$5/100)+((J21-I21)/($J$7*9.8))+((G21*E21^2-H21*C21^2)/(2*9.8))</f>
        <v>26.413593016933241</v>
      </c>
      <c r="L21" s="20">
        <f t="shared" si="7"/>
        <v>2.1912389314766227E-3</v>
      </c>
      <c r="M21" s="21">
        <f t="shared" si="8"/>
        <v>27.82625832745093</v>
      </c>
    </row>
    <row r="22" spans="1:13" ht="16.5" thickBot="1" x14ac:dyDescent="0.3">
      <c r="A22" s="4">
        <v>7</v>
      </c>
      <c r="B22" s="17">
        <f t="shared" si="0"/>
        <v>2.4733514001806685E-3</v>
      </c>
      <c r="C22" s="21">
        <f t="shared" si="1"/>
        <v>1.8880545039547088</v>
      </c>
      <c r="D22" s="21">
        <f t="shared" si="2"/>
        <v>86359.443678645868</v>
      </c>
      <c r="E22" s="21">
        <f t="shared" si="3"/>
        <v>4.4404872534661912</v>
      </c>
      <c r="F22" s="21">
        <f t="shared" si="4"/>
        <v>203107.48872356568</v>
      </c>
      <c r="G22" s="1">
        <v>1</v>
      </c>
      <c r="H22" s="1">
        <v>1</v>
      </c>
      <c r="I22" s="21">
        <f t="shared" si="5"/>
        <v>-24443.846000000001</v>
      </c>
      <c r="J22" s="21">
        <f t="shared" si="6"/>
        <v>213172.47200000001</v>
      </c>
      <c r="K22" s="21">
        <f t="shared" si="10"/>
        <v>25.463663321934025</v>
      </c>
      <c r="L22" s="20">
        <f t="shared" si="7"/>
        <v>2.545348397716066E-3</v>
      </c>
      <c r="M22" s="21">
        <f t="shared" si="8"/>
        <v>26.967687582218442</v>
      </c>
    </row>
    <row r="23" spans="1:13" ht="16.5" thickBot="1" x14ac:dyDescent="0.3">
      <c r="A23" s="4">
        <v>8</v>
      </c>
      <c r="B23" s="17">
        <f t="shared" si="0"/>
        <v>2.68958742632613E-3</v>
      </c>
      <c r="C23" s="21">
        <f t="shared" si="1"/>
        <v>2.0531201727680384</v>
      </c>
      <c r="D23" s="21">
        <f t="shared" si="2"/>
        <v>93909.532566071692</v>
      </c>
      <c r="E23" s="21">
        <f t="shared" si="3"/>
        <v>4.8287027402623517</v>
      </c>
      <c r="F23" s="21">
        <f t="shared" si="4"/>
        <v>220864.43027208961</v>
      </c>
      <c r="G23" s="1">
        <v>1</v>
      </c>
      <c r="H23" s="1">
        <v>1</v>
      </c>
      <c r="I23" s="21">
        <f t="shared" si="5"/>
        <v>-27109.446000000004</v>
      </c>
      <c r="J23" s="21">
        <f t="shared" si="6"/>
        <v>199172.47200000001</v>
      </c>
      <c r="K23" s="21">
        <f t="shared" si="10"/>
        <v>24.454014313699265</v>
      </c>
      <c r="L23" s="20">
        <f t="shared" si="7"/>
        <v>2.7589554490449752E-3</v>
      </c>
      <c r="M23" s="21">
        <f t="shared" si="8"/>
        <v>25.731683787482016</v>
      </c>
    </row>
    <row r="24" spans="1:13" x14ac:dyDescent="0.25">
      <c r="B24" s="28">
        <v>2</v>
      </c>
      <c r="C24" s="28">
        <v>3</v>
      </c>
      <c r="D24" s="28">
        <v>4</v>
      </c>
      <c r="E24" s="28">
        <v>5</v>
      </c>
      <c r="F24" s="30">
        <v>6</v>
      </c>
      <c r="G24" s="31">
        <v>7</v>
      </c>
      <c r="H24" s="31">
        <v>8</v>
      </c>
      <c r="I24" s="28">
        <v>9</v>
      </c>
      <c r="J24" s="28">
        <v>10</v>
      </c>
      <c r="K24" s="28">
        <v>11</v>
      </c>
      <c r="L24" s="28">
        <v>12</v>
      </c>
      <c r="M24" s="28">
        <v>13</v>
      </c>
    </row>
    <row r="25" spans="1:13" x14ac:dyDescent="0.25">
      <c r="B25" s="28"/>
      <c r="C25" s="28"/>
      <c r="D25" s="28"/>
      <c r="E25" s="28"/>
      <c r="F25" s="32"/>
      <c r="G25" s="33"/>
      <c r="H25" s="33"/>
      <c r="I25" s="28"/>
      <c r="J25" s="28"/>
      <c r="K25" s="28"/>
      <c r="L25" s="28"/>
      <c r="M25" s="28"/>
    </row>
    <row r="26" spans="1:13" x14ac:dyDescent="0.25">
      <c r="B26" s="28"/>
      <c r="C26" s="28"/>
      <c r="D26" s="28"/>
      <c r="E26" s="28"/>
      <c r="F26" s="32"/>
      <c r="G26" s="33"/>
      <c r="H26" s="33"/>
      <c r="I26" s="28"/>
      <c r="J26" s="28"/>
      <c r="K26" s="28"/>
      <c r="L26" s="28"/>
      <c r="M26" s="28"/>
    </row>
    <row r="27" spans="1:13" x14ac:dyDescent="0.25">
      <c r="B27" s="38" t="s">
        <v>47</v>
      </c>
      <c r="C27" s="38"/>
      <c r="D27" s="38"/>
      <c r="E27" s="38"/>
      <c r="F27" s="38"/>
      <c r="G27" s="33"/>
      <c r="H27" s="33"/>
      <c r="I27" s="28"/>
      <c r="J27" s="28"/>
      <c r="K27" s="28"/>
      <c r="L27" s="28"/>
      <c r="M27" s="28"/>
    </row>
    <row r="28" spans="1:13" x14ac:dyDescent="0.25">
      <c r="B28" s="38"/>
      <c r="C28" s="38"/>
      <c r="D28" s="38"/>
      <c r="E28" s="38"/>
      <c r="F28" s="38"/>
      <c r="G28" s="33"/>
      <c r="H28" s="33"/>
      <c r="I28" s="28"/>
      <c r="J28" s="41"/>
      <c r="K28" s="28"/>
      <c r="L28" s="28"/>
      <c r="M28" s="28"/>
    </row>
    <row r="29" spans="1:13" x14ac:dyDescent="0.25">
      <c r="B29" s="38"/>
      <c r="C29" s="38"/>
      <c r="D29" s="38"/>
      <c r="E29" s="38"/>
      <c r="F29" s="38"/>
    </row>
    <row r="30" spans="1:13" ht="15.75" thickBot="1" x14ac:dyDescent="0.3">
      <c r="B30" s="39"/>
      <c r="C30" s="39"/>
      <c r="D30" s="39"/>
      <c r="E30" s="39"/>
      <c r="F30" s="39"/>
      <c r="G30" s="28">
        <v>14</v>
      </c>
    </row>
    <row r="31" spans="1:13" ht="18.75" thickBot="1" x14ac:dyDescent="0.3">
      <c r="A31" s="2" t="s">
        <v>0</v>
      </c>
      <c r="B31" s="1" t="s">
        <v>41</v>
      </c>
      <c r="C31" s="1" t="s">
        <v>42</v>
      </c>
      <c r="D31" s="1" t="s">
        <v>43</v>
      </c>
      <c r="E31" s="1" t="s">
        <v>44</v>
      </c>
      <c r="F31" s="1" t="s">
        <v>45</v>
      </c>
      <c r="G31" s="1" t="s">
        <v>46</v>
      </c>
    </row>
    <row r="32" spans="1:13" ht="16.5" thickBot="1" x14ac:dyDescent="0.3">
      <c r="A32" s="4">
        <v>1</v>
      </c>
      <c r="B32" s="1">
        <v>0</v>
      </c>
      <c r="C32" s="19">
        <f>(106.9/100)+(I16/($J$7*9.8))+((G16*C16^2)/(2*9.8))</f>
        <v>-4.7843530591795691E-4</v>
      </c>
      <c r="D32" s="19">
        <f>B32-C32</f>
        <v>4.7843530591795691E-4</v>
      </c>
      <c r="E32" s="21">
        <f>($J$5/100)+(J16/($J$7*9.8))+((H16*E16^2)/(2*9.8))</f>
        <v>31.19996653224981</v>
      </c>
      <c r="F32" s="1">
        <f>(($K$5-$L$5)/100)+((H16*E16^2)/(2*9.8))</f>
        <v>1.1000000000000001</v>
      </c>
      <c r="G32" s="21">
        <f>E32-F32</f>
        <v>30.099966532249809</v>
      </c>
    </row>
    <row r="33" spans="1:7" ht="16.5" thickBot="1" x14ac:dyDescent="0.3">
      <c r="A33" s="4">
        <v>2</v>
      </c>
      <c r="B33" s="1">
        <v>0</v>
      </c>
      <c r="C33" s="19">
        <f t="shared" ref="C33:C39" si="11">($I$5/100)+(I17/($J$7*9.8))+(G17*C17^2)/(2*9.8)</f>
        <v>-0.2669201409169934</v>
      </c>
      <c r="D33" s="19">
        <f t="shared" ref="D33:D39" si="12">B33-C33</f>
        <v>0.2669201409169934</v>
      </c>
      <c r="E33" s="21">
        <f t="shared" ref="E33:E39" si="13">($J$5/100)+(J17/($J$7*9.8))+((H17*E17^2)/(2*9.8))</f>
        <v>29.802368614518699</v>
      </c>
      <c r="F33" s="21">
        <f t="shared" ref="F33:F39" si="14">(($K$5-$L$5)/100)+((H17*E17^2)/(2*9.8))</f>
        <v>1.1352721209563765</v>
      </c>
      <c r="G33" s="21">
        <f t="shared" ref="G33:G39" si="15">E33-F33</f>
        <v>28.667096493562322</v>
      </c>
    </row>
    <row r="34" spans="1:7" ht="16.5" thickBot="1" x14ac:dyDescent="0.3">
      <c r="A34" s="4">
        <v>3</v>
      </c>
      <c r="B34" s="1">
        <v>0</v>
      </c>
      <c r="C34" s="19">
        <f t="shared" si="11"/>
        <v>-0.37674859953830198</v>
      </c>
      <c r="D34" s="19">
        <f t="shared" si="12"/>
        <v>0.37674859953830198</v>
      </c>
      <c r="E34" s="21">
        <f t="shared" si="13"/>
        <v>28.516526472091474</v>
      </c>
      <c r="F34" s="21">
        <f t="shared" si="14"/>
        <v>1.2823000172166479</v>
      </c>
      <c r="G34" s="21">
        <f t="shared" si="15"/>
        <v>27.234226454874825</v>
      </c>
    </row>
    <row r="35" spans="1:7" ht="16.5" thickBot="1" x14ac:dyDescent="0.3">
      <c r="A35" s="4">
        <v>4</v>
      </c>
      <c r="B35" s="1">
        <v>0</v>
      </c>
      <c r="C35" s="19">
        <f t="shared" si="11"/>
        <v>-0.55261323777688343</v>
      </c>
      <c r="D35" s="19">
        <f t="shared" si="12"/>
        <v>0.55261323777688343</v>
      </c>
      <c r="E35" s="21">
        <f t="shared" si="13"/>
        <v>27.242678727622796</v>
      </c>
      <c r="F35" s="21">
        <f t="shared" si="14"/>
        <v>1.4413223114354574</v>
      </c>
      <c r="G35" s="21">
        <f t="shared" si="15"/>
        <v>25.801356416187339</v>
      </c>
    </row>
    <row r="36" spans="1:7" ht="16.5" thickBot="1" x14ac:dyDescent="0.3">
      <c r="A36" s="4">
        <v>5</v>
      </c>
      <c r="B36" s="1">
        <v>0</v>
      </c>
      <c r="C36" s="19">
        <f>($I$5/100)+(I20/($J$7*9.8))+(G20*C20^2)/(2*9.8)</f>
        <v>-0.79003310967019502</v>
      </c>
      <c r="D36" s="19">
        <f t="shared" si="12"/>
        <v>0.79003310967019502</v>
      </c>
      <c r="E36" s="21">
        <f t="shared" si="13"/>
        <v>26.005611122134603</v>
      </c>
      <c r="F36" s="21">
        <f t="shared" si="14"/>
        <v>1.6371247446347552</v>
      </c>
      <c r="G36" s="21">
        <f t="shared" si="15"/>
        <v>24.368486377499849</v>
      </c>
    </row>
    <row r="37" spans="1:7" ht="16.5" thickBot="1" x14ac:dyDescent="0.3">
      <c r="A37" s="4">
        <v>6</v>
      </c>
      <c r="B37" s="1">
        <v>0</v>
      </c>
      <c r="C37" s="21">
        <f>($I$5/100)+(I21/($J$7*9.8))+(G21*C21^2)/(2*9.8)</f>
        <v>-1.0244524457048754</v>
      </c>
      <c r="D37" s="21">
        <f>B37-C37</f>
        <v>1.0244524457048754</v>
      </c>
      <c r="E37" s="21">
        <f t="shared" si="13"/>
        <v>24.785140571228368</v>
      </c>
      <c r="F37" s="21">
        <f t="shared" si="14"/>
        <v>1.8495242324160102</v>
      </c>
      <c r="G37" s="21">
        <f t="shared" si="15"/>
        <v>22.935616338812359</v>
      </c>
    </row>
    <row r="38" spans="1:7" ht="16.5" thickBot="1" x14ac:dyDescent="0.3">
      <c r="A38" s="4">
        <v>7</v>
      </c>
      <c r="B38" s="1">
        <v>0</v>
      </c>
      <c r="C38" s="21">
        <f t="shared" si="11"/>
        <v>-1.2509003356767268</v>
      </c>
      <c r="D38" s="21">
        <f t="shared" si="12"/>
        <v>1.2509003356767268</v>
      </c>
      <c r="E38" s="21">
        <f t="shared" si="13"/>
        <v>23.608762986257297</v>
      </c>
      <c r="F38" s="21">
        <f t="shared" si="14"/>
        <v>2.1060166861324348</v>
      </c>
      <c r="G38" s="21">
        <f t="shared" si="15"/>
        <v>21.502746300124862</v>
      </c>
    </row>
    <row r="39" spans="1:7" ht="16.5" thickBot="1" x14ac:dyDescent="0.3">
      <c r="A39" s="4">
        <v>8</v>
      </c>
      <c r="B39" s="1">
        <v>0</v>
      </c>
      <c r="C39" s="21">
        <f t="shared" si="11"/>
        <v>-1.4905273301283661</v>
      </c>
      <c r="D39" s="21">
        <f t="shared" si="12"/>
        <v>1.4905273301283661</v>
      </c>
      <c r="E39" s="21">
        <f t="shared" si="13"/>
        <v>22.3594869835709</v>
      </c>
      <c r="F39" s="21">
        <f t="shared" si="14"/>
        <v>2.2896107221335278</v>
      </c>
      <c r="G39" s="21">
        <f t="shared" si="15"/>
        <v>20.069876261437372</v>
      </c>
    </row>
    <row r="40" spans="1:7" x14ac:dyDescent="0.25">
      <c r="B40" s="28">
        <v>15</v>
      </c>
      <c r="C40" s="28">
        <v>16</v>
      </c>
      <c r="D40" s="28">
        <v>17</v>
      </c>
      <c r="E40" s="28">
        <v>18</v>
      </c>
      <c r="F40" s="28">
        <v>19</v>
      </c>
      <c r="G40" s="28">
        <v>20</v>
      </c>
    </row>
  </sheetData>
  <mergeCells count="3">
    <mergeCell ref="C14:K14"/>
    <mergeCell ref="B27:F30"/>
    <mergeCell ref="C1:D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H10" workbookViewId="0">
      <selection activeCell="T29" sqref="T29"/>
    </sheetView>
  </sheetViews>
  <sheetFormatPr defaultRowHeight="15" x14ac:dyDescent="0.25"/>
  <cols>
    <col min="2" max="2" width="14.5703125" customWidth="1"/>
    <col min="9" max="9" width="15.85546875" customWidth="1"/>
    <col min="10" max="10" width="14.7109375" customWidth="1"/>
    <col min="11" max="11" width="15" customWidth="1"/>
    <col min="12" max="12" width="16" customWidth="1"/>
    <col min="16" max="16" width="12.42578125" customWidth="1"/>
    <col min="18" max="18" width="14.42578125" customWidth="1"/>
    <col min="19" max="19" width="13.85546875" customWidth="1"/>
  </cols>
  <sheetData>
    <row r="1" spans="1:13" ht="15.75" thickBot="1" x14ac:dyDescent="0.3">
      <c r="C1" s="7" t="s">
        <v>7</v>
      </c>
      <c r="D1" s="7"/>
      <c r="E1" s="7"/>
    </row>
    <row r="2" spans="1:13" ht="35.25" thickBot="1" x14ac:dyDescent="0.3">
      <c r="A2" s="55" t="s">
        <v>48</v>
      </c>
      <c r="B2" s="56" t="s">
        <v>88</v>
      </c>
      <c r="C2" s="56" t="s">
        <v>61</v>
      </c>
      <c r="D2" s="56" t="s">
        <v>5</v>
      </c>
      <c r="E2" s="56" t="s">
        <v>58</v>
      </c>
      <c r="F2" s="56" t="s">
        <v>89</v>
      </c>
      <c r="G2" s="56" t="s">
        <v>3</v>
      </c>
    </row>
    <row r="3" spans="1:13" ht="19.5" thickBot="1" x14ac:dyDescent="0.3">
      <c r="A3" s="57">
        <v>1</v>
      </c>
      <c r="B3" s="58">
        <v>20</v>
      </c>
      <c r="C3" s="58"/>
      <c r="D3" s="58"/>
      <c r="E3" s="58">
        <v>-100</v>
      </c>
      <c r="F3" s="58">
        <v>283</v>
      </c>
      <c r="G3" s="58">
        <v>3508</v>
      </c>
      <c r="I3" s="11" t="s">
        <v>8</v>
      </c>
      <c r="J3" s="11" t="s">
        <v>9</v>
      </c>
      <c r="K3" s="11" t="s">
        <v>10</v>
      </c>
      <c r="L3" s="11" t="s">
        <v>21</v>
      </c>
    </row>
    <row r="4" spans="1:13" ht="16.5" thickBot="1" x14ac:dyDescent="0.3">
      <c r="A4" s="57">
        <v>2</v>
      </c>
      <c r="B4" s="58">
        <v>25</v>
      </c>
      <c r="C4" s="58">
        <v>10</v>
      </c>
      <c r="D4" s="59">
        <v>10.32</v>
      </c>
      <c r="E4" s="58">
        <v>-105</v>
      </c>
      <c r="F4" s="58">
        <v>279</v>
      </c>
      <c r="G4" s="58">
        <v>3501</v>
      </c>
      <c r="I4" s="6">
        <v>25</v>
      </c>
      <c r="J4" s="6">
        <v>199</v>
      </c>
      <c r="K4" s="6">
        <v>0.54759999999999998</v>
      </c>
      <c r="L4" s="15">
        <v>3500</v>
      </c>
    </row>
    <row r="5" spans="1:13" ht="18.75" thickBot="1" x14ac:dyDescent="0.4">
      <c r="A5" s="57">
        <v>3</v>
      </c>
      <c r="B5" s="58">
        <v>30</v>
      </c>
      <c r="C5" s="58">
        <v>20</v>
      </c>
      <c r="D5" s="58">
        <v>11.56</v>
      </c>
      <c r="E5" s="58">
        <v>-115</v>
      </c>
      <c r="F5" s="58">
        <v>260</v>
      </c>
      <c r="G5" s="58">
        <v>3465</v>
      </c>
      <c r="I5" s="6" t="s">
        <v>11</v>
      </c>
      <c r="J5" s="13" t="s">
        <v>12</v>
      </c>
      <c r="K5" s="13" t="s">
        <v>13</v>
      </c>
      <c r="L5" s="13" t="s">
        <v>14</v>
      </c>
      <c r="M5" s="6" t="s">
        <v>15</v>
      </c>
    </row>
    <row r="6" spans="1:13" ht="16.5" thickBot="1" x14ac:dyDescent="0.3">
      <c r="A6" s="57">
        <v>4</v>
      </c>
      <c r="B6" s="58">
        <v>40</v>
      </c>
      <c r="C6" s="58">
        <v>50</v>
      </c>
      <c r="D6" s="58">
        <v>15.06</v>
      </c>
      <c r="E6" s="58">
        <v>-125</v>
      </c>
      <c r="F6" s="58">
        <v>240</v>
      </c>
      <c r="G6" s="58">
        <v>3431</v>
      </c>
      <c r="I6" s="12">
        <v>106.9</v>
      </c>
      <c r="J6" s="12">
        <v>78.5</v>
      </c>
      <c r="K6" s="6">
        <v>205</v>
      </c>
      <c r="L6" s="6">
        <v>95</v>
      </c>
      <c r="M6" s="6">
        <v>32</v>
      </c>
    </row>
    <row r="7" spans="1:13" ht="19.5" thickBot="1" x14ac:dyDescent="0.4">
      <c r="A7" s="57">
        <v>5</v>
      </c>
      <c r="B7" s="58">
        <v>45</v>
      </c>
      <c r="C7" s="58">
        <v>100</v>
      </c>
      <c r="D7" s="58">
        <v>24.13</v>
      </c>
      <c r="E7" s="58">
        <v>-130</v>
      </c>
      <c r="F7" s="58">
        <v>220</v>
      </c>
      <c r="G7" s="58">
        <v>3415</v>
      </c>
      <c r="I7" s="6" t="s">
        <v>16</v>
      </c>
      <c r="J7" s="6" t="s">
        <v>17</v>
      </c>
      <c r="K7" s="6" t="s">
        <v>19</v>
      </c>
      <c r="L7" s="6" t="s">
        <v>18</v>
      </c>
      <c r="M7" s="6" t="s">
        <v>20</v>
      </c>
    </row>
    <row r="8" spans="1:13" ht="16.5" thickBot="1" x14ac:dyDescent="0.3">
      <c r="A8" s="57">
        <v>6</v>
      </c>
      <c r="B8" s="58">
        <v>50</v>
      </c>
      <c r="C8" s="58">
        <v>100</v>
      </c>
      <c r="D8" s="58">
        <v>19.68</v>
      </c>
      <c r="E8" s="58">
        <v>-140</v>
      </c>
      <c r="F8" s="58">
        <v>200</v>
      </c>
      <c r="G8" s="58">
        <v>3396</v>
      </c>
      <c r="I8" s="6">
        <v>80</v>
      </c>
      <c r="J8" s="6">
        <v>997</v>
      </c>
      <c r="K8" s="14">
        <v>8.9199999999999999E-7</v>
      </c>
      <c r="L8" s="13">
        <v>13534</v>
      </c>
      <c r="M8" s="13">
        <v>9.8000000000000007</v>
      </c>
    </row>
    <row r="9" spans="1:13" ht="16.5" thickBot="1" x14ac:dyDescent="0.3">
      <c r="A9" s="57">
        <v>7</v>
      </c>
      <c r="B9" s="58">
        <v>60</v>
      </c>
      <c r="C9" s="58">
        <v>100</v>
      </c>
      <c r="D9" s="58">
        <v>16.97</v>
      </c>
      <c r="E9" s="58">
        <v>-150</v>
      </c>
      <c r="F9" s="58">
        <v>279</v>
      </c>
      <c r="G9" s="58">
        <v>3386</v>
      </c>
      <c r="I9" s="13" t="s">
        <v>22</v>
      </c>
      <c r="J9" s="13" t="s">
        <v>23</v>
      </c>
      <c r="K9" s="13" t="s">
        <v>24</v>
      </c>
      <c r="L9" s="13" t="s">
        <v>25</v>
      </c>
    </row>
    <row r="10" spans="1:13" x14ac:dyDescent="0.25">
      <c r="I10" s="13">
        <v>40.799999999999997</v>
      </c>
      <c r="J10" s="13">
        <v>13.1</v>
      </c>
      <c r="K10" s="13">
        <v>26.6</v>
      </c>
      <c r="L10" s="13">
        <v>5.57</v>
      </c>
    </row>
    <row r="11" spans="1:13" x14ac:dyDescent="0.25">
      <c r="I11" s="13" t="s">
        <v>26</v>
      </c>
      <c r="J11" s="13"/>
      <c r="K11" s="13" t="s">
        <v>27</v>
      </c>
      <c r="L11" s="13" t="s">
        <v>56</v>
      </c>
    </row>
    <row r="12" spans="1:13" x14ac:dyDescent="0.25">
      <c r="B12" s="13" t="s">
        <v>53</v>
      </c>
      <c r="C12" s="13" t="s">
        <v>54</v>
      </c>
      <c r="E12" s="13" t="s">
        <v>55</v>
      </c>
      <c r="F12" s="13" t="s">
        <v>54</v>
      </c>
      <c r="I12" s="13">
        <v>9</v>
      </c>
      <c r="J12" s="13"/>
      <c r="K12" s="13">
        <v>12</v>
      </c>
      <c r="L12" s="13" t="s">
        <v>57</v>
      </c>
    </row>
    <row r="13" spans="1:13" x14ac:dyDescent="0.25">
      <c r="B13" s="13">
        <v>1</v>
      </c>
      <c r="C13" s="23">
        <v>6886.7</v>
      </c>
      <c r="E13" s="6">
        <v>1</v>
      </c>
      <c r="F13" s="6">
        <f>13600*9.8/1000</f>
        <v>133.28</v>
      </c>
    </row>
    <row r="17" spans="1:20" ht="15.75" thickBot="1" x14ac:dyDescent="0.3">
      <c r="A17" s="28">
        <v>7</v>
      </c>
      <c r="B17" s="34" t="s">
        <v>98</v>
      </c>
      <c r="C17" s="34"/>
      <c r="D17" s="34"/>
      <c r="E17" s="34"/>
      <c r="F17" s="34"/>
      <c r="G17" s="34"/>
      <c r="H17" s="34"/>
      <c r="I17" s="34"/>
      <c r="J17" s="34"/>
      <c r="K17" s="34"/>
      <c r="L17" s="60" t="s">
        <v>99</v>
      </c>
      <c r="M17" s="60"/>
      <c r="N17" s="60"/>
      <c r="O17" s="60"/>
      <c r="P17" s="60"/>
      <c r="Q17" s="60"/>
      <c r="R17" s="61" t="s">
        <v>100</v>
      </c>
      <c r="S17" s="61"/>
      <c r="T17" s="28">
        <v>25</v>
      </c>
    </row>
    <row r="18" spans="1:20" ht="18.75" thickBot="1" x14ac:dyDescent="0.3">
      <c r="A18" s="55" t="s">
        <v>48</v>
      </c>
      <c r="B18" s="13" t="s">
        <v>36</v>
      </c>
      <c r="C18" s="13" t="s">
        <v>28</v>
      </c>
      <c r="D18" s="13" t="s">
        <v>30</v>
      </c>
      <c r="E18" s="13" t="s">
        <v>29</v>
      </c>
      <c r="F18" s="13" t="s">
        <v>32</v>
      </c>
      <c r="G18" s="13" t="s">
        <v>31</v>
      </c>
      <c r="H18" s="13" t="s">
        <v>33</v>
      </c>
      <c r="I18" s="13" t="s">
        <v>90</v>
      </c>
      <c r="J18" s="13" t="s">
        <v>91</v>
      </c>
      <c r="K18" s="13" t="s">
        <v>92</v>
      </c>
      <c r="L18" s="13" t="s">
        <v>41</v>
      </c>
      <c r="M18" s="13" t="s">
        <v>93</v>
      </c>
      <c r="N18" s="13" t="s">
        <v>43</v>
      </c>
      <c r="O18" s="13" t="s">
        <v>94</v>
      </c>
      <c r="P18" s="13" t="s">
        <v>95</v>
      </c>
      <c r="Q18" s="13" t="s">
        <v>46</v>
      </c>
      <c r="R18" s="13" t="s">
        <v>96</v>
      </c>
      <c r="S18" s="13" t="s">
        <v>97</v>
      </c>
    </row>
    <row r="19" spans="1:20" ht="16.5" thickBot="1" x14ac:dyDescent="0.3">
      <c r="A19" s="57">
        <v>1</v>
      </c>
      <c r="B19" s="13">
        <v>0</v>
      </c>
      <c r="C19" s="13">
        <f>B19/($J$10/10000)</f>
        <v>0</v>
      </c>
      <c r="D19" s="13">
        <f>B19/($L$10/10000)</f>
        <v>0</v>
      </c>
      <c r="E19" s="13"/>
      <c r="F19" s="13"/>
      <c r="G19" s="13"/>
      <c r="H19" s="13"/>
      <c r="I19" s="23">
        <f>E3*$F$13+($I$12/100)*$J$8*9.8</f>
        <v>-12448.646000000001</v>
      </c>
      <c r="J19" s="23">
        <f>F3*1000+($K$12/100)*$J$8*9.8</f>
        <v>284172.47200000001</v>
      </c>
      <c r="K19" s="23">
        <f>($M$6/100)+((J19-I19)/($J$8*9.8))+((D19^2-C19^2)/(2*9.8))</f>
        <v>30.67853663029906</v>
      </c>
      <c r="L19" s="13">
        <v>0</v>
      </c>
      <c r="M19" s="26">
        <v>0</v>
      </c>
      <c r="N19" s="26">
        <v>0</v>
      </c>
      <c r="O19" s="23">
        <v>0</v>
      </c>
      <c r="P19" s="23">
        <v>0</v>
      </c>
      <c r="Q19" s="23">
        <f>O19-P19</f>
        <v>0</v>
      </c>
      <c r="R19" s="13">
        <f>(3000/G3)*B19</f>
        <v>0</v>
      </c>
      <c r="S19" s="23">
        <f>((3000/G3)^2)*K19</f>
        <v>22.436648279473559</v>
      </c>
    </row>
    <row r="20" spans="1:20" ht="16.5" thickBot="1" x14ac:dyDescent="0.3">
      <c r="A20" s="57">
        <v>2</v>
      </c>
      <c r="B20" s="24">
        <f>((C4/1000)*$K$4)/D4</f>
        <v>5.306201550387597E-4</v>
      </c>
      <c r="C20" s="26">
        <f t="shared" ref="C20:C25" si="0">B20/($J$10/10000)</f>
        <v>0.40505355346470207</v>
      </c>
      <c r="D20" s="26">
        <f t="shared" ref="D20:D25" si="1">B20/($L$10/10000)</f>
        <v>0.9526394165866422</v>
      </c>
      <c r="E20" s="27">
        <f>(C20*($I$10/1000))/$K$8</f>
        <v>18527.113207802515</v>
      </c>
      <c r="F20" s="13">
        <v>1</v>
      </c>
      <c r="G20" s="27">
        <f>(D20*($K$10/1000))/$K$8</f>
        <v>28408.305472202559</v>
      </c>
      <c r="H20" s="13">
        <v>1</v>
      </c>
      <c r="I20" s="23">
        <f t="shared" ref="I20:I25" si="2">E4*$F$13+($I$12/100)*$J$8*9.8</f>
        <v>-13115.046</v>
      </c>
      <c r="J20" s="23">
        <f t="shared" ref="J20:J25" si="3">F4*1000+($K$12/100)*$J$8*9.8</f>
        <v>280172.47200000001</v>
      </c>
      <c r="K20" s="23">
        <f t="shared" ref="K20:K25" si="4">($M$6/100)+((J20-I20)/($J$8*9.8))+((D20^2-C20^2)/(2*9.8))</f>
        <v>30.375281104355391</v>
      </c>
      <c r="L20" s="13">
        <v>0</v>
      </c>
      <c r="M20" s="26">
        <f t="shared" ref="M20:M25" si="5">($I$6/100)+(I20/($J$8*9.8))+((F20*C20^2)/(2*9.8))</f>
        <v>-0.26492605489781296</v>
      </c>
      <c r="N20" s="26">
        <f t="shared" ref="N20:N25" si="6">L20-M20</f>
        <v>0.26492605489781296</v>
      </c>
      <c r="O20" s="23">
        <f t="shared" ref="O20:O25" si="7">($J$6/100)+(J20/($J$8*9.8))+(H20*D20^2/19.6)</f>
        <v>29.506355049457579</v>
      </c>
      <c r="P20" s="23">
        <f t="shared" ref="P20:P25" si="8">(($K$6/100)-($L$6/100))+(H20*D20^2/19.6)</f>
        <v>1.1463021356140068</v>
      </c>
      <c r="Q20" s="23">
        <f t="shared" ref="Q20:Q25" si="9">O20-P20</f>
        <v>28.360052913843571</v>
      </c>
      <c r="R20" s="24">
        <f t="shared" ref="R20:R25" si="10">(3000/G4)*B20</f>
        <v>4.5468736507177349E-4</v>
      </c>
      <c r="S20" s="23">
        <f t="shared" ref="S20:S25" si="11">((3000/G4)^2)*K20</f>
        <v>22.303786214849659</v>
      </c>
    </row>
    <row r="21" spans="1:20" ht="16.5" thickBot="1" x14ac:dyDescent="0.3">
      <c r="A21" s="57">
        <v>3</v>
      </c>
      <c r="B21" s="24">
        <f t="shared" ref="B20:B25" si="12">((C5/1000)*$K$4)/D5</f>
        <v>9.4740484429065735E-4</v>
      </c>
      <c r="C21" s="26">
        <f t="shared" si="0"/>
        <v>0.72320980480202857</v>
      </c>
      <c r="D21" s="23">
        <f t="shared" si="1"/>
        <v>1.7009063631789181</v>
      </c>
      <c r="E21" s="27">
        <f t="shared" ref="E21:E25" si="13">(C21*($I$10/1000))/$K$8</f>
        <v>33079.551609778886</v>
      </c>
      <c r="F21" s="13">
        <v>1</v>
      </c>
      <c r="G21" s="27">
        <f t="shared" ref="G21:G25" si="14">(D21*($K$10/1000))/$K$8</f>
        <v>50722.095583586575</v>
      </c>
      <c r="H21" s="13">
        <v>1</v>
      </c>
      <c r="I21" s="23">
        <f t="shared" si="2"/>
        <v>-14447.846000000001</v>
      </c>
      <c r="J21" s="23">
        <f t="shared" si="3"/>
        <v>261172.47200000001</v>
      </c>
      <c r="K21" s="23">
        <f t="shared" si="4"/>
        <v>28.650070614109531</v>
      </c>
      <c r="L21" s="13">
        <v>0</v>
      </c>
      <c r="M21" s="26">
        <f t="shared" si="5"/>
        <v>-0.38302079071415784</v>
      </c>
      <c r="N21" s="26">
        <f t="shared" si="6"/>
        <v>0.38302079071415784</v>
      </c>
      <c r="O21" s="23">
        <f t="shared" si="7"/>
        <v>27.663049823395369</v>
      </c>
      <c r="P21" s="23">
        <f t="shared" si="8"/>
        <v>1.2476062477705372</v>
      </c>
      <c r="Q21" s="23">
        <f t="shared" si="9"/>
        <v>26.415443575624831</v>
      </c>
      <c r="R21" s="24">
        <f t="shared" si="10"/>
        <v>8.2026393445078553E-4</v>
      </c>
      <c r="S21" s="23">
        <f t="shared" si="11"/>
        <v>21.47641207181989</v>
      </c>
    </row>
    <row r="22" spans="1:20" ht="16.5" thickBot="1" x14ac:dyDescent="0.3">
      <c r="A22" s="57">
        <v>4</v>
      </c>
      <c r="B22" s="25">
        <f t="shared" si="12"/>
        <v>1.8180610889774237E-3</v>
      </c>
      <c r="C22" s="23">
        <f t="shared" si="0"/>
        <v>1.3878328923491785</v>
      </c>
      <c r="D22" s="23">
        <f t="shared" si="1"/>
        <v>3.264023499061802</v>
      </c>
      <c r="E22" s="27">
        <f t="shared" si="13"/>
        <v>63479.352026733723</v>
      </c>
      <c r="F22" s="13">
        <v>1</v>
      </c>
      <c r="G22" s="27">
        <f t="shared" si="14"/>
        <v>97335.229904757784</v>
      </c>
      <c r="H22" s="13">
        <v>1</v>
      </c>
      <c r="I22" s="23">
        <f t="shared" si="2"/>
        <v>-15780.646000000001</v>
      </c>
      <c r="J22" s="23">
        <f t="shared" si="3"/>
        <v>241172.47200000001</v>
      </c>
      <c r="K22" s="23">
        <f t="shared" si="4"/>
        <v>27.063896073810479</v>
      </c>
      <c r="L22" s="13">
        <v>0</v>
      </c>
      <c r="M22" s="26">
        <f t="shared" si="5"/>
        <v>-0.44784595128881399</v>
      </c>
      <c r="N22" s="26">
        <f t="shared" si="6"/>
        <v>0.44784595128881399</v>
      </c>
      <c r="O22" s="23">
        <f t="shared" si="7"/>
        <v>26.012050122521664</v>
      </c>
      <c r="P22" s="23">
        <f t="shared" si="8"/>
        <v>1.6435637450218188</v>
      </c>
      <c r="Q22" s="23">
        <f t="shared" si="9"/>
        <v>24.368486377499845</v>
      </c>
      <c r="R22" s="25">
        <f t="shared" si="10"/>
        <v>1.5896774313413789E-3</v>
      </c>
      <c r="S22" s="23">
        <f t="shared" si="11"/>
        <v>20.69147213100014</v>
      </c>
    </row>
    <row r="23" spans="1:20" ht="16.5" thickBot="1" x14ac:dyDescent="0.3">
      <c r="A23" s="57">
        <v>5</v>
      </c>
      <c r="B23" s="25">
        <f t="shared" si="12"/>
        <v>2.2693742229589722E-3</v>
      </c>
      <c r="C23" s="23">
        <f t="shared" si="0"/>
        <v>1.7323467350831849</v>
      </c>
      <c r="D23" s="23">
        <f t="shared" si="1"/>
        <v>4.0742804720986934</v>
      </c>
      <c r="E23" s="27">
        <f t="shared" si="13"/>
        <v>79237.38429528469</v>
      </c>
      <c r="F23" s="13">
        <v>1</v>
      </c>
      <c r="G23" s="27">
        <f t="shared" si="14"/>
        <v>121497.60152222561</v>
      </c>
      <c r="H23" s="13">
        <v>1</v>
      </c>
      <c r="I23" s="23">
        <f t="shared" si="2"/>
        <v>-16447.046000000002</v>
      </c>
      <c r="J23" s="23">
        <f t="shared" si="3"/>
        <v>221172.47200000001</v>
      </c>
      <c r="K23" s="23">
        <f t="shared" si="4"/>
        <v>25.333662208375486</v>
      </c>
      <c r="L23" s="13">
        <v>0</v>
      </c>
      <c r="M23" s="26">
        <f t="shared" si="5"/>
        <v>-0.46120642872895701</v>
      </c>
      <c r="N23" s="26">
        <f t="shared" si="6"/>
        <v>0.46120642872895701</v>
      </c>
      <c r="O23" s="23">
        <f t="shared" si="7"/>
        <v>24.268455779646533</v>
      </c>
      <c r="P23" s="23">
        <f t="shared" si="8"/>
        <v>1.946926600271671</v>
      </c>
      <c r="Q23" s="23">
        <f t="shared" si="9"/>
        <v>22.321529179374863</v>
      </c>
      <c r="R23" s="25">
        <f t="shared" si="10"/>
        <v>1.9935937536974865E-3</v>
      </c>
      <c r="S23" s="23">
        <f t="shared" si="11"/>
        <v>19.55055402167077</v>
      </c>
    </row>
    <row r="24" spans="1:20" ht="16.5" thickBot="1" x14ac:dyDescent="0.3">
      <c r="A24" s="57">
        <v>6</v>
      </c>
      <c r="B24" s="25">
        <f t="shared" si="12"/>
        <v>2.782520325203252E-3</v>
      </c>
      <c r="C24" s="23">
        <f t="shared" si="0"/>
        <v>2.1240613169490472</v>
      </c>
      <c r="D24" s="23">
        <f t="shared" si="1"/>
        <v>4.9955481601494656</v>
      </c>
      <c r="E24" s="27">
        <f t="shared" si="13"/>
        <v>97154.374138476589</v>
      </c>
      <c r="F24" s="13">
        <v>1</v>
      </c>
      <c r="G24" s="27">
        <f t="shared" si="14"/>
        <v>148970.38235423295</v>
      </c>
      <c r="H24" s="13">
        <v>1</v>
      </c>
      <c r="I24" s="23">
        <f t="shared" si="2"/>
        <v>-17779.846000000001</v>
      </c>
      <c r="J24" s="23">
        <f t="shared" si="3"/>
        <v>201172.47200000001</v>
      </c>
      <c r="K24" s="23">
        <f t="shared" si="4"/>
        <v>23.772355502598955</v>
      </c>
      <c r="L24" s="13">
        <v>0</v>
      </c>
      <c r="M24" s="26">
        <f t="shared" si="5"/>
        <v>-0.52054365296272298</v>
      </c>
      <c r="N24" s="26">
        <f t="shared" si="6"/>
        <v>0.52054365296272298</v>
      </c>
      <c r="O24" s="23">
        <f t="shared" si="7"/>
        <v>22.647811849636234</v>
      </c>
      <c r="P24" s="23">
        <f t="shared" si="8"/>
        <v>2.3732398683863627</v>
      </c>
      <c r="Q24" s="23">
        <f t="shared" si="9"/>
        <v>20.274571981249871</v>
      </c>
      <c r="R24" s="25">
        <f t="shared" si="10"/>
        <v>2.4580568243844983E-3</v>
      </c>
      <c r="S24" s="23">
        <f t="shared" si="11"/>
        <v>18.55151417688365</v>
      </c>
    </row>
    <row r="25" spans="1:20" ht="16.5" thickBot="1" x14ac:dyDescent="0.3">
      <c r="A25" s="57">
        <v>7</v>
      </c>
      <c r="B25" s="25">
        <f t="shared" si="12"/>
        <v>3.2268709487330589E-3</v>
      </c>
      <c r="C25" s="23">
        <f t="shared" si="0"/>
        <v>2.463260266208442</v>
      </c>
      <c r="D25" s="23">
        <f t="shared" si="1"/>
        <v>5.7933051144220089</v>
      </c>
      <c r="E25" s="27">
        <f t="shared" si="13"/>
        <v>112669.30365617089</v>
      </c>
      <c r="F25" s="13">
        <v>1</v>
      </c>
      <c r="G25" s="27">
        <f t="shared" si="14"/>
        <v>172759.99556460252</v>
      </c>
      <c r="H25" s="13">
        <v>1</v>
      </c>
      <c r="I25" s="23">
        <f t="shared" si="2"/>
        <v>-19112.646000000001</v>
      </c>
      <c r="J25" s="23">
        <f t="shared" si="3"/>
        <v>280172.47200000001</v>
      </c>
      <c r="K25" s="23">
        <f t="shared" si="4"/>
        <v>32.353983829584557</v>
      </c>
      <c r="L25" s="13">
        <v>0</v>
      </c>
      <c r="M25" s="26">
        <f t="shared" si="5"/>
        <v>-0.57756437753750856</v>
      </c>
      <c r="N25" s="26">
        <f t="shared" si="6"/>
        <v>0.57756437753750856</v>
      </c>
      <c r="O25" s="23">
        <f t="shared" si="7"/>
        <v>31.172419452047052</v>
      </c>
      <c r="P25" s="23">
        <f t="shared" si="8"/>
        <v>2.8123665382034795</v>
      </c>
      <c r="Q25" s="23">
        <f t="shared" si="9"/>
        <v>28.360052913843571</v>
      </c>
      <c r="R25" s="25">
        <f t="shared" si="10"/>
        <v>2.8590114725927868E-3</v>
      </c>
      <c r="S25" s="23">
        <f t="shared" si="11"/>
        <v>25.397815617751721</v>
      </c>
    </row>
    <row r="26" spans="1:20" x14ac:dyDescent="0.25">
      <c r="B26" s="28">
        <v>8</v>
      </c>
      <c r="C26" s="28">
        <v>9</v>
      </c>
      <c r="D26" s="28">
        <v>10</v>
      </c>
      <c r="E26" s="28">
        <v>11</v>
      </c>
      <c r="F26" s="28">
        <v>12</v>
      </c>
      <c r="G26" s="28">
        <v>13</v>
      </c>
      <c r="H26" s="28">
        <v>14</v>
      </c>
      <c r="I26" s="28">
        <v>15</v>
      </c>
      <c r="J26" s="28">
        <v>16</v>
      </c>
      <c r="K26" s="28">
        <v>17</v>
      </c>
      <c r="L26" s="28">
        <v>19</v>
      </c>
      <c r="M26" s="28">
        <v>20</v>
      </c>
      <c r="N26" s="28">
        <v>21</v>
      </c>
      <c r="O26" s="28">
        <v>22</v>
      </c>
      <c r="P26" s="28">
        <v>23</v>
      </c>
      <c r="Q26" s="28">
        <v>24</v>
      </c>
      <c r="R26" s="28">
        <v>26</v>
      </c>
      <c r="S26" s="28">
        <v>27</v>
      </c>
    </row>
  </sheetData>
  <mergeCells count="4">
    <mergeCell ref="C1:E1"/>
    <mergeCell ref="B17:K17"/>
    <mergeCell ref="L17:Q17"/>
    <mergeCell ref="R17:S1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workbookViewId="0">
      <selection activeCell="C13" sqref="C13:G14"/>
    </sheetView>
  </sheetViews>
  <sheetFormatPr defaultRowHeight="15" x14ac:dyDescent="0.25"/>
  <cols>
    <col min="3" max="3" width="13" customWidth="1"/>
    <col min="4" max="4" width="12.5703125" customWidth="1"/>
    <col min="7" max="7" width="10.5703125" customWidth="1"/>
    <col min="10" max="10" width="15.5703125" customWidth="1"/>
    <col min="11" max="11" width="14.28515625" customWidth="1"/>
    <col min="12" max="12" width="14.5703125" customWidth="1"/>
    <col min="13" max="13" width="14.140625" customWidth="1"/>
  </cols>
  <sheetData>
    <row r="1" spans="2:14" ht="15.75" thickBot="1" x14ac:dyDescent="0.3">
      <c r="D1" s="7" t="s">
        <v>7</v>
      </c>
      <c r="E1" s="7"/>
    </row>
    <row r="2" spans="2:14" ht="19.5" thickBot="1" x14ac:dyDescent="0.3">
      <c r="B2" s="2" t="s">
        <v>48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5</v>
      </c>
      <c r="H2" s="3" t="s">
        <v>3</v>
      </c>
      <c r="J2" s="11" t="s">
        <v>8</v>
      </c>
      <c r="K2" s="11" t="s">
        <v>9</v>
      </c>
      <c r="L2" s="11" t="s">
        <v>10</v>
      </c>
      <c r="M2" s="11" t="s">
        <v>21</v>
      </c>
    </row>
    <row r="3" spans="2:14" ht="16.5" thickBot="1" x14ac:dyDescent="0.3">
      <c r="B3" s="46">
        <v>1</v>
      </c>
      <c r="C3" s="47">
        <v>-70</v>
      </c>
      <c r="D3" s="47">
        <v>5.2</v>
      </c>
      <c r="E3" s="47">
        <v>4.51</v>
      </c>
      <c r="F3" s="47" t="s">
        <v>6</v>
      </c>
      <c r="G3" s="47" t="s">
        <v>6</v>
      </c>
      <c r="H3" s="47">
        <v>3567</v>
      </c>
      <c r="J3" s="6">
        <v>25</v>
      </c>
      <c r="K3" s="6">
        <v>199</v>
      </c>
      <c r="L3" s="6">
        <v>0.54759999999999998</v>
      </c>
      <c r="M3" s="15">
        <v>3500</v>
      </c>
    </row>
    <row r="4" spans="2:14" ht="18.75" thickBot="1" x14ac:dyDescent="0.4">
      <c r="B4" s="46">
        <v>2</v>
      </c>
      <c r="C4" s="47">
        <v>-130</v>
      </c>
      <c r="D4" s="47">
        <v>4.5999999999999996</v>
      </c>
      <c r="E4" s="47">
        <v>8.57</v>
      </c>
      <c r="F4" s="47">
        <v>100</v>
      </c>
      <c r="G4" s="47">
        <v>28.06</v>
      </c>
      <c r="H4" s="47">
        <v>3532</v>
      </c>
      <c r="J4" s="6" t="s">
        <v>11</v>
      </c>
      <c r="K4" s="13" t="s">
        <v>12</v>
      </c>
      <c r="L4" s="13" t="s">
        <v>13</v>
      </c>
      <c r="M4" s="13" t="s">
        <v>14</v>
      </c>
      <c r="N4" s="6" t="s">
        <v>15</v>
      </c>
    </row>
    <row r="5" spans="2:14" ht="16.5" thickBot="1" x14ac:dyDescent="0.3">
      <c r="B5" s="46">
        <v>3</v>
      </c>
      <c r="C5" s="47">
        <v>-180</v>
      </c>
      <c r="D5" s="47">
        <v>4</v>
      </c>
      <c r="E5" s="47">
        <v>9.7100000000000009</v>
      </c>
      <c r="F5" s="47">
        <v>100</v>
      </c>
      <c r="G5" s="47">
        <v>17.32</v>
      </c>
      <c r="H5" s="47">
        <v>3517</v>
      </c>
      <c r="J5" s="12">
        <v>106.9</v>
      </c>
      <c r="K5" s="12">
        <v>78.5</v>
      </c>
      <c r="L5" s="6">
        <v>205</v>
      </c>
      <c r="M5" s="6">
        <v>95</v>
      </c>
      <c r="N5" s="6">
        <v>32</v>
      </c>
    </row>
    <row r="6" spans="2:14" ht="19.5" thickBot="1" x14ac:dyDescent="0.4">
      <c r="B6" s="46">
        <v>4</v>
      </c>
      <c r="C6" s="47">
        <v>-230</v>
      </c>
      <c r="D6" s="47">
        <v>3.4</v>
      </c>
      <c r="E6" s="47">
        <v>10.45</v>
      </c>
      <c r="F6" s="47">
        <v>100</v>
      </c>
      <c r="G6" s="47">
        <v>15.78</v>
      </c>
      <c r="H6" s="47">
        <v>3508</v>
      </c>
      <c r="J6" s="6" t="s">
        <v>16</v>
      </c>
      <c r="K6" s="6" t="s">
        <v>17</v>
      </c>
      <c r="L6" s="6" t="s">
        <v>19</v>
      </c>
      <c r="M6" s="6" t="s">
        <v>18</v>
      </c>
      <c r="N6" s="6" t="s">
        <v>20</v>
      </c>
    </row>
    <row r="7" spans="2:14" ht="16.5" thickBot="1" x14ac:dyDescent="0.3">
      <c r="B7" s="46">
        <v>5</v>
      </c>
      <c r="C7" s="47">
        <v>-280</v>
      </c>
      <c r="D7" s="47">
        <v>2.8</v>
      </c>
      <c r="E7" s="47">
        <v>10.9</v>
      </c>
      <c r="F7" s="47">
        <v>100</v>
      </c>
      <c r="G7" s="47">
        <v>14.22</v>
      </c>
      <c r="H7" s="47">
        <v>3502</v>
      </c>
      <c r="J7" s="6">
        <v>80</v>
      </c>
      <c r="K7" s="6">
        <v>997</v>
      </c>
      <c r="L7" s="14">
        <v>8.9199999999999999E-7</v>
      </c>
      <c r="M7" s="13">
        <v>13534</v>
      </c>
      <c r="N7" s="13">
        <v>9.8000000000000007</v>
      </c>
    </row>
    <row r="8" spans="2:14" ht="16.5" thickBot="1" x14ac:dyDescent="0.3">
      <c r="B8" s="46">
        <v>6</v>
      </c>
      <c r="C8" s="47">
        <v>-315</v>
      </c>
      <c r="D8" s="47">
        <v>2.2000000000000002</v>
      </c>
      <c r="E8" s="47">
        <v>11.18</v>
      </c>
      <c r="F8" s="47">
        <v>100</v>
      </c>
      <c r="G8" s="47">
        <v>12.75</v>
      </c>
      <c r="H8" s="47">
        <v>3497</v>
      </c>
      <c r="J8" s="13" t="s">
        <v>22</v>
      </c>
      <c r="K8" s="13" t="s">
        <v>23</v>
      </c>
      <c r="L8" s="13" t="s">
        <v>24</v>
      </c>
      <c r="M8" s="13" t="s">
        <v>25</v>
      </c>
    </row>
    <row r="9" spans="2:14" ht="16.5" thickBot="1" x14ac:dyDescent="0.3">
      <c r="B9" s="46">
        <v>7</v>
      </c>
      <c r="C9" s="47">
        <v>-350</v>
      </c>
      <c r="D9" s="47">
        <v>1.6</v>
      </c>
      <c r="E9" s="47">
        <v>11.31</v>
      </c>
      <c r="F9" s="47">
        <v>100</v>
      </c>
      <c r="G9" s="47">
        <v>12.56</v>
      </c>
      <c r="H9" s="47">
        <v>3500</v>
      </c>
      <c r="J9" s="13">
        <v>40.799999999999997</v>
      </c>
      <c r="K9" s="13">
        <v>13.1</v>
      </c>
      <c r="L9" s="13">
        <v>26.6</v>
      </c>
      <c r="M9" s="13">
        <v>5.57</v>
      </c>
    </row>
    <row r="10" spans="2:14" ht="16.5" thickBot="1" x14ac:dyDescent="0.3">
      <c r="B10" s="46">
        <v>8</v>
      </c>
      <c r="C10" s="47">
        <v>-350</v>
      </c>
      <c r="D10" s="47">
        <v>1.1000000000000001</v>
      </c>
      <c r="E10" s="47">
        <v>11.64</v>
      </c>
      <c r="F10" s="47">
        <v>100</v>
      </c>
      <c r="G10" s="47">
        <v>12.22</v>
      </c>
      <c r="H10" s="47">
        <v>3505</v>
      </c>
      <c r="J10" s="13" t="s">
        <v>26</v>
      </c>
      <c r="K10" s="13"/>
      <c r="L10" s="13" t="s">
        <v>27</v>
      </c>
      <c r="M10" s="13" t="s">
        <v>56</v>
      </c>
    </row>
    <row r="11" spans="2:14" x14ac:dyDescent="0.25">
      <c r="J11" s="13">
        <v>9</v>
      </c>
      <c r="K11" s="13"/>
      <c r="L11" s="13">
        <v>12</v>
      </c>
      <c r="M11" s="13" t="s">
        <v>57</v>
      </c>
    </row>
    <row r="13" spans="2:14" x14ac:dyDescent="0.25">
      <c r="C13" s="13" t="s">
        <v>53</v>
      </c>
      <c r="D13" s="13" t="s">
        <v>54</v>
      </c>
      <c r="F13" s="13" t="s">
        <v>55</v>
      </c>
      <c r="G13" s="13" t="s">
        <v>54</v>
      </c>
    </row>
    <row r="14" spans="2:14" x14ac:dyDescent="0.25">
      <c r="C14" s="13">
        <v>1</v>
      </c>
      <c r="D14" s="23">
        <v>6886.7</v>
      </c>
      <c r="F14" s="6">
        <v>1</v>
      </c>
      <c r="G14" s="6">
        <f>13600*9.8/1000</f>
        <v>133.28</v>
      </c>
    </row>
    <row r="18" spans="2:16" x14ac:dyDescent="0.25">
      <c r="D18" s="35" t="s">
        <v>87</v>
      </c>
      <c r="E18" s="35"/>
      <c r="F18" s="35"/>
      <c r="G18" s="35"/>
      <c r="H18" s="35"/>
      <c r="I18" s="28">
        <v>7</v>
      </c>
    </row>
    <row r="19" spans="2:16" ht="15.75" thickBot="1" x14ac:dyDescent="0.3">
      <c r="D19" s="36"/>
      <c r="E19" s="36"/>
      <c r="F19" s="36"/>
      <c r="G19" s="36"/>
      <c r="H19" s="36"/>
    </row>
    <row r="20" spans="2:16" ht="18.75" thickBot="1" x14ac:dyDescent="0.3">
      <c r="B20" s="2" t="s">
        <v>48</v>
      </c>
      <c r="C20" s="1" t="s">
        <v>36</v>
      </c>
      <c r="D20" s="1" t="s">
        <v>38</v>
      </c>
      <c r="E20" s="1" t="s">
        <v>28</v>
      </c>
      <c r="F20" s="1" t="s">
        <v>30</v>
      </c>
      <c r="G20" s="1" t="s">
        <v>37</v>
      </c>
      <c r="H20" s="1" t="s">
        <v>39</v>
      </c>
      <c r="I20" s="1" t="s">
        <v>83</v>
      </c>
      <c r="J20" s="1" t="s">
        <v>84</v>
      </c>
      <c r="K20" s="1" t="s">
        <v>85</v>
      </c>
      <c r="L20" s="1" t="s">
        <v>86</v>
      </c>
      <c r="M20" s="13"/>
      <c r="N20" s="13"/>
      <c r="O20" s="13"/>
      <c r="P20" s="13"/>
    </row>
    <row r="21" spans="2:16" ht="16.5" thickBot="1" x14ac:dyDescent="0.3">
      <c r="B21" s="2">
        <v>1</v>
      </c>
      <c r="C21" s="1">
        <v>0</v>
      </c>
      <c r="D21" s="1">
        <f>(3500/H3)*C21</f>
        <v>0</v>
      </c>
      <c r="E21" s="1">
        <f>C21/($K$9/10000)</f>
        <v>0</v>
      </c>
      <c r="F21" s="1">
        <f>C21/($M$9/10000)</f>
        <v>0</v>
      </c>
      <c r="G21" s="21">
        <f>((D3*9.8*10000-C3*$G$14)/($K$7*9.8))+((F21^2-E21^2)/(2*9.8))</f>
        <v>53.111334002006018</v>
      </c>
      <c r="H21" s="21">
        <f>((3500/H3)^2)*G21</f>
        <v>51.134861005858824</v>
      </c>
      <c r="I21" s="1">
        <f>($K$7*9.8)*C21*G21</f>
        <v>0</v>
      </c>
      <c r="J21" s="21">
        <f>E3*9.8*0.08*2*PI()*(H3/60)</f>
        <v>1320.7612903271763</v>
      </c>
      <c r="K21" s="1">
        <f>(I21/J21)*100</f>
        <v>0</v>
      </c>
      <c r="L21" s="17">
        <f>(1-(1-K21)*(3500/H3)^0.1)</f>
        <v>1.8943971484692845E-3</v>
      </c>
      <c r="M21" s="13"/>
      <c r="N21" s="13"/>
      <c r="O21" s="13"/>
      <c r="P21" s="13"/>
    </row>
    <row r="22" spans="2:16" ht="16.5" thickBot="1" x14ac:dyDescent="0.3">
      <c r="B22" s="2">
        <v>2</v>
      </c>
      <c r="C22" s="17">
        <f>((F4/1000)*0.681)/G4</f>
        <v>2.4269422665716325E-3</v>
      </c>
      <c r="D22" s="17">
        <f t="shared" ref="D22:D28" si="0">(3500/H4)*C22</f>
        <v>2.4049541146661138E-3</v>
      </c>
      <c r="E22" s="21">
        <f t="shared" ref="E22:E28" si="1">C22/($K$9/10000)</f>
        <v>1.8526276844058263</v>
      </c>
      <c r="F22" s="21">
        <f t="shared" ref="F22:F28" si="2">C22/($M$9/10000)</f>
        <v>4.3571674444733075</v>
      </c>
      <c r="G22" s="21">
        <f t="shared" ref="G22:G28" si="3">((D4*9.8*10000-C4*$G$14)/($K$7*9.8))+((F22^2-E22^2)/(2*9.8))</f>
        <v>48.705239226134765</v>
      </c>
      <c r="H22" s="21">
        <f t="shared" ref="H22:H28" si="4">((3500/H4)^2)*G22</f>
        <v>47.826696006368472</v>
      </c>
      <c r="I22" s="21">
        <f t="shared" ref="I22:I28" si="5">($K$7*9.8)*C22*G22</f>
        <v>1154.9318548493802</v>
      </c>
      <c r="J22" s="21">
        <f t="shared" ref="J22:J28" si="6">E4*9.8*0.08*2*PI()*(H4/60)</f>
        <v>2485.1133219592371</v>
      </c>
      <c r="K22" s="21">
        <f t="shared" ref="K22:K28" si="7">(I22/J22)*100</f>
        <v>46.474011653474385</v>
      </c>
      <c r="L22" s="21">
        <f t="shared" ref="L22:L28" si="8">(1-(1-K22)*(3500/H4)^0.1)</f>
        <v>46.432643154705318</v>
      </c>
      <c r="M22" s="13"/>
      <c r="N22" s="13"/>
      <c r="O22" s="13"/>
      <c r="P22" s="13"/>
    </row>
    <row r="23" spans="2:16" ht="16.5" thickBot="1" x14ac:dyDescent="0.3">
      <c r="B23" s="2">
        <v>3</v>
      </c>
      <c r="C23" s="17">
        <f t="shared" ref="C23:C28" si="9">((F5/1000)*0.681)/G5</f>
        <v>3.9318706697459588E-3</v>
      </c>
      <c r="D23" s="17">
        <f t="shared" si="0"/>
        <v>3.9128653238870784E-3</v>
      </c>
      <c r="E23" s="21">
        <f t="shared" si="1"/>
        <v>3.0014279921724878</v>
      </c>
      <c r="F23" s="21">
        <f t="shared" si="2"/>
        <v>7.0590137697413988</v>
      </c>
      <c r="G23" s="21">
        <f t="shared" si="3"/>
        <v>44.658436641197802</v>
      </c>
      <c r="H23" s="21">
        <f t="shared" si="4"/>
        <v>44.227752205860256</v>
      </c>
      <c r="I23" s="21">
        <f t="shared" si="5"/>
        <v>1715.6313512278168</v>
      </c>
      <c r="J23" s="21">
        <f t="shared" si="6"/>
        <v>2803.7305826918841</v>
      </c>
      <c r="K23" s="21">
        <f t="shared" si="7"/>
        <v>61.191020343353586</v>
      </c>
      <c r="L23" s="21">
        <f t="shared" si="8"/>
        <v>61.161862541273457</v>
      </c>
      <c r="M23" s="13"/>
      <c r="N23" s="13"/>
      <c r="O23" s="13"/>
      <c r="P23" s="13"/>
    </row>
    <row r="24" spans="2:16" ht="16.5" thickBot="1" x14ac:dyDescent="0.3">
      <c r="B24" s="2">
        <v>4</v>
      </c>
      <c r="C24" s="17">
        <f t="shared" si="9"/>
        <v>4.3155893536121681E-3</v>
      </c>
      <c r="D24" s="17">
        <f t="shared" si="0"/>
        <v>4.3057476447099742E-3</v>
      </c>
      <c r="E24" s="21">
        <f t="shared" si="1"/>
        <v>3.2943430180245556</v>
      </c>
      <c r="F24" s="21">
        <f t="shared" si="2"/>
        <v>7.7479162542408764</v>
      </c>
      <c r="G24" s="21">
        <f>((D6*9.8*10000-C6*$G$14)/($K$7*9.8))+((F24^2-E24^2)/(2*9.8))</f>
        <v>39.748775808611342</v>
      </c>
      <c r="H24" s="21">
        <f t="shared" si="4"/>
        <v>39.567688227160929</v>
      </c>
      <c r="I24" s="21">
        <f t="shared" si="5"/>
        <v>1676.0428000731044</v>
      </c>
      <c r="J24" s="21">
        <f t="shared" si="6"/>
        <v>3009.6816181831746</v>
      </c>
      <c r="K24" s="21">
        <f t="shared" si="7"/>
        <v>55.688375472913478</v>
      </c>
      <c r="L24" s="21">
        <f t="shared" si="8"/>
        <v>55.675890962243855</v>
      </c>
      <c r="M24" s="13"/>
      <c r="N24" s="13"/>
      <c r="O24" s="13"/>
      <c r="P24" s="13"/>
    </row>
    <row r="25" spans="2:16" ht="16.5" thickBot="1" x14ac:dyDescent="0.3">
      <c r="B25" s="2">
        <v>5</v>
      </c>
      <c r="C25" s="17">
        <f t="shared" si="9"/>
        <v>4.7890295358649793E-3</v>
      </c>
      <c r="D25" s="17">
        <f t="shared" si="0"/>
        <v>4.7862945104304479E-3</v>
      </c>
      <c r="E25" s="21">
        <f t="shared" si="1"/>
        <v>3.6557477373015108</v>
      </c>
      <c r="F25" s="21">
        <f t="shared" si="2"/>
        <v>8.5978986281238416</v>
      </c>
      <c r="G25" s="21">
        <f t="shared" si="3"/>
        <v>34.99347487323228</v>
      </c>
      <c r="H25" s="21">
        <f t="shared" si="4"/>
        <v>34.953516583743401</v>
      </c>
      <c r="I25" s="21">
        <f t="shared" si="5"/>
        <v>1637.4038976874169</v>
      </c>
      <c r="J25" s="21">
        <f t="shared" si="6"/>
        <v>3133.9157740056771</v>
      </c>
      <c r="K25" s="21">
        <f t="shared" si="7"/>
        <v>52.247859092732938</v>
      </c>
      <c r="L25" s="21">
        <f t="shared" si="8"/>
        <v>52.244931563643654</v>
      </c>
      <c r="M25" s="13"/>
      <c r="N25" s="13"/>
      <c r="O25" s="13"/>
      <c r="P25" s="13"/>
    </row>
    <row r="26" spans="2:16" ht="16.5" thickBot="1" x14ac:dyDescent="0.3">
      <c r="B26" s="2">
        <v>6</v>
      </c>
      <c r="C26" s="17">
        <f t="shared" si="9"/>
        <v>5.3411764705882355E-3</v>
      </c>
      <c r="D26" s="17">
        <f t="shared" si="0"/>
        <v>5.345758549344817E-3</v>
      </c>
      <c r="E26" s="21">
        <f t="shared" si="1"/>
        <v>4.0772339470139203</v>
      </c>
      <c r="F26" s="21">
        <f t="shared" si="2"/>
        <v>9.5891857640722371</v>
      </c>
      <c r="G26" s="21">
        <f t="shared" si="3"/>
        <v>30.206387582048457</v>
      </c>
      <c r="H26" s="21">
        <f t="shared" si="4"/>
        <v>30.258236614274594</v>
      </c>
      <c r="I26" s="21">
        <f t="shared" si="5"/>
        <v>1576.3656100136452</v>
      </c>
      <c r="J26" s="21">
        <f t="shared" si="6"/>
        <v>3209.83062632053</v>
      </c>
      <c r="K26" s="21">
        <f t="shared" si="7"/>
        <v>49.110554217019647</v>
      </c>
      <c r="L26" s="21">
        <f t="shared" si="8"/>
        <v>49.114679924036018</v>
      </c>
      <c r="M26" s="13"/>
      <c r="N26" s="13"/>
      <c r="O26" s="13"/>
      <c r="P26" s="13"/>
    </row>
    <row r="27" spans="2:16" ht="16.5" thickBot="1" x14ac:dyDescent="0.3">
      <c r="B27" s="2">
        <v>7</v>
      </c>
      <c r="C27" s="17">
        <f t="shared" si="9"/>
        <v>5.421974522292994E-3</v>
      </c>
      <c r="D27" s="17">
        <f t="shared" si="0"/>
        <v>5.421974522292994E-3</v>
      </c>
      <c r="E27" s="21">
        <f t="shared" si="1"/>
        <v>4.1389118490786219</v>
      </c>
      <c r="F27" s="21">
        <f t="shared" si="2"/>
        <v>9.734245102859953</v>
      </c>
      <c r="G27" s="21">
        <f t="shared" si="3"/>
        <v>24.782923342416296</v>
      </c>
      <c r="H27" s="21">
        <f t="shared" si="4"/>
        <v>24.782923342416296</v>
      </c>
      <c r="I27" s="21">
        <f t="shared" si="5"/>
        <v>1312.8987657739654</v>
      </c>
      <c r="J27" s="21">
        <f t="shared" si="6"/>
        <v>3249.9399010267985</v>
      </c>
      <c r="K27" s="21">
        <f t="shared" si="7"/>
        <v>40.397632133417702</v>
      </c>
      <c r="L27" s="21">
        <f t="shared" si="8"/>
        <v>40.397632133417702</v>
      </c>
      <c r="M27" s="13"/>
      <c r="N27" s="13"/>
      <c r="O27" s="13"/>
      <c r="P27" s="13"/>
    </row>
    <row r="28" spans="2:16" ht="16.5" thickBot="1" x14ac:dyDescent="0.3">
      <c r="B28" s="2">
        <v>8</v>
      </c>
      <c r="C28" s="17">
        <f t="shared" si="9"/>
        <v>5.5728314238952543E-3</v>
      </c>
      <c r="D28" s="17">
        <f t="shared" si="0"/>
        <v>5.5648815930480428E-3</v>
      </c>
      <c r="E28" s="21">
        <f t="shared" si="1"/>
        <v>4.2540697892330188</v>
      </c>
      <c r="F28" s="21">
        <f t="shared" si="2"/>
        <v>10.00508334631105</v>
      </c>
      <c r="G28" s="21">
        <f t="shared" si="3"/>
        <v>19.991329562461914</v>
      </c>
      <c r="H28" s="21">
        <f t="shared" si="4"/>
        <v>19.934333641173577</v>
      </c>
      <c r="I28" s="21">
        <f t="shared" si="5"/>
        <v>1088.5260296911331</v>
      </c>
      <c r="J28" s="21">
        <f t="shared" si="6"/>
        <v>3349.5439704451564</v>
      </c>
      <c r="K28" s="21">
        <f t="shared" si="7"/>
        <v>32.497738178563672</v>
      </c>
      <c r="L28" s="21">
        <f t="shared" si="8"/>
        <v>32.493242033609874</v>
      </c>
      <c r="M28" s="13"/>
      <c r="N28" s="13"/>
      <c r="O28" s="13"/>
      <c r="P28" s="13"/>
    </row>
    <row r="29" spans="2:16" x14ac:dyDescent="0.25">
      <c r="C29" s="28">
        <v>8</v>
      </c>
      <c r="D29" s="28">
        <v>9</v>
      </c>
      <c r="E29" s="28">
        <v>10</v>
      </c>
      <c r="F29" s="28">
        <v>11</v>
      </c>
      <c r="G29" s="28">
        <v>12</v>
      </c>
      <c r="H29" s="28">
        <v>13</v>
      </c>
      <c r="I29" s="28">
        <v>14</v>
      </c>
      <c r="J29" s="28">
        <v>15</v>
      </c>
      <c r="K29" s="28">
        <v>16</v>
      </c>
      <c r="L29" s="28">
        <v>17</v>
      </c>
    </row>
  </sheetData>
  <mergeCells count="2">
    <mergeCell ref="D1:E1"/>
    <mergeCell ref="D18:H1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7" workbookViewId="0">
      <selection activeCell="H24" sqref="H24"/>
    </sheetView>
  </sheetViews>
  <sheetFormatPr defaultRowHeight="15" x14ac:dyDescent="0.25"/>
  <cols>
    <col min="2" max="2" width="11.7109375" customWidth="1"/>
    <col min="4" max="4" width="19.5703125" customWidth="1"/>
    <col min="5" max="5" width="19.28515625" customWidth="1"/>
    <col min="6" max="6" width="12.5703125" customWidth="1"/>
    <col min="8" max="8" width="16.85546875" customWidth="1"/>
    <col min="9" max="9" width="16.28515625" customWidth="1"/>
    <col min="10" max="10" width="15.5703125" customWidth="1"/>
    <col min="11" max="11" width="15.28515625" customWidth="1"/>
  </cols>
  <sheetData>
    <row r="1" spans="1:12" ht="15.75" thickBot="1" x14ac:dyDescent="0.3">
      <c r="D1" s="37" t="s">
        <v>7</v>
      </c>
    </row>
    <row r="2" spans="1:12" ht="19.5" thickBot="1" x14ac:dyDescent="0.3">
      <c r="A2" s="51" t="s">
        <v>48</v>
      </c>
      <c r="B2" s="8" t="s">
        <v>61</v>
      </c>
      <c r="C2" s="8" t="s">
        <v>5</v>
      </c>
      <c r="D2" s="8" t="s">
        <v>75</v>
      </c>
      <c r="E2" s="8" t="s">
        <v>76</v>
      </c>
      <c r="F2" s="10" t="s">
        <v>77</v>
      </c>
      <c r="H2" s="11" t="s">
        <v>8</v>
      </c>
      <c r="I2" s="11" t="s">
        <v>9</v>
      </c>
      <c r="J2" s="11" t="s">
        <v>10</v>
      </c>
      <c r="K2" s="11" t="s">
        <v>21</v>
      </c>
    </row>
    <row r="3" spans="1:12" ht="16.5" thickBot="1" x14ac:dyDescent="0.3">
      <c r="A3" s="52">
        <v>1</v>
      </c>
      <c r="B3" s="5">
        <v>200</v>
      </c>
      <c r="C3" s="5">
        <v>34.270000000000003</v>
      </c>
      <c r="D3" s="5">
        <v>160</v>
      </c>
      <c r="E3" s="5">
        <v>145</v>
      </c>
      <c r="F3" s="53">
        <v>2.2599999999999999E-2</v>
      </c>
      <c r="H3" s="6">
        <v>25</v>
      </c>
      <c r="I3" s="6">
        <v>199</v>
      </c>
      <c r="J3" s="6">
        <v>0.54759999999999998</v>
      </c>
      <c r="K3" s="15">
        <v>3500</v>
      </c>
    </row>
    <row r="4" spans="1:12" ht="18.75" thickBot="1" x14ac:dyDescent="0.4">
      <c r="A4" s="52">
        <v>2</v>
      </c>
      <c r="B4" s="5">
        <v>100</v>
      </c>
      <c r="C4" s="5">
        <v>18.690000000000001</v>
      </c>
      <c r="D4" s="5">
        <v>131</v>
      </c>
      <c r="E4" s="5">
        <v>82.74</v>
      </c>
      <c r="F4" s="53">
        <v>2.2700000000000001E-2</v>
      </c>
      <c r="H4" s="6" t="s">
        <v>11</v>
      </c>
      <c r="I4" s="13" t="s">
        <v>12</v>
      </c>
      <c r="J4" s="13" t="s">
        <v>13</v>
      </c>
      <c r="K4" s="13" t="s">
        <v>14</v>
      </c>
      <c r="L4" s="6" t="s">
        <v>15</v>
      </c>
    </row>
    <row r="5" spans="1:12" ht="16.5" thickBot="1" x14ac:dyDescent="0.3">
      <c r="A5" s="52">
        <v>3</v>
      </c>
      <c r="B5" s="5">
        <v>100</v>
      </c>
      <c r="C5" s="5">
        <v>21.1</v>
      </c>
      <c r="D5" s="5">
        <v>177.2</v>
      </c>
      <c r="E5" s="5">
        <v>62.05</v>
      </c>
      <c r="F5" s="53">
        <v>2.3E-2</v>
      </c>
      <c r="H5" s="12">
        <v>106.9</v>
      </c>
      <c r="I5" s="12">
        <v>78.5</v>
      </c>
      <c r="J5" s="6">
        <v>205</v>
      </c>
      <c r="K5" s="6">
        <v>95</v>
      </c>
      <c r="L5" s="6">
        <v>32</v>
      </c>
    </row>
    <row r="6" spans="1:12" ht="19.5" thickBot="1" x14ac:dyDescent="0.4">
      <c r="A6" s="52">
        <v>4</v>
      </c>
      <c r="B6" s="5">
        <v>200</v>
      </c>
      <c r="C6" s="5">
        <v>39.03</v>
      </c>
      <c r="D6" s="5">
        <v>200</v>
      </c>
      <c r="E6" s="5">
        <v>115</v>
      </c>
      <c r="F6" s="53">
        <v>3.3099999999999997E-2</v>
      </c>
      <c r="H6" s="6" t="s">
        <v>16</v>
      </c>
      <c r="I6" s="6" t="s">
        <v>17</v>
      </c>
      <c r="J6" s="6" t="s">
        <v>19</v>
      </c>
      <c r="K6" s="6" t="s">
        <v>18</v>
      </c>
      <c r="L6" s="6" t="s">
        <v>20</v>
      </c>
    </row>
    <row r="7" spans="1:12" ht="16.5" thickBot="1" x14ac:dyDescent="0.3">
      <c r="A7" s="52">
        <v>5</v>
      </c>
      <c r="B7" s="5">
        <v>100</v>
      </c>
      <c r="C7" s="5">
        <v>30.9</v>
      </c>
      <c r="D7" s="5">
        <v>241.32</v>
      </c>
      <c r="E7" s="5">
        <v>20.68</v>
      </c>
      <c r="F7" s="53">
        <v>2.3900000000000001E-2</v>
      </c>
      <c r="H7" s="6">
        <v>80</v>
      </c>
      <c r="I7" s="6">
        <v>997</v>
      </c>
      <c r="J7" s="14">
        <v>8.9199999999999999E-7</v>
      </c>
      <c r="K7" s="13">
        <v>13534</v>
      </c>
      <c r="L7" s="13">
        <v>9.8000000000000007</v>
      </c>
    </row>
    <row r="8" spans="1:12" ht="16.5" thickBot="1" x14ac:dyDescent="0.3">
      <c r="A8" s="52">
        <v>6</v>
      </c>
      <c r="B8" s="5">
        <v>100</v>
      </c>
      <c r="C8" s="5">
        <v>33.57</v>
      </c>
      <c r="D8" s="5">
        <v>290</v>
      </c>
      <c r="E8" s="5">
        <v>50</v>
      </c>
      <c r="F8" s="53">
        <v>2.4199999999999999E-2</v>
      </c>
      <c r="H8" s="13" t="s">
        <v>22</v>
      </c>
      <c r="I8" s="13" t="s">
        <v>23</v>
      </c>
      <c r="J8" s="13" t="s">
        <v>24</v>
      </c>
      <c r="K8" s="13" t="s">
        <v>25</v>
      </c>
    </row>
    <row r="9" spans="1:12" ht="16.5" thickBot="1" x14ac:dyDescent="0.3">
      <c r="A9" s="52">
        <v>7</v>
      </c>
      <c r="B9" s="5">
        <v>50</v>
      </c>
      <c r="C9" s="5">
        <v>18.03</v>
      </c>
      <c r="D9" s="5">
        <v>255.1</v>
      </c>
      <c r="E9" s="54">
        <v>68.900000000000006</v>
      </c>
      <c r="F9" s="53">
        <v>2.4400000000000002E-2</v>
      </c>
      <c r="H9" s="13">
        <v>40.799999999999997</v>
      </c>
      <c r="I9" s="13">
        <v>13.1</v>
      </c>
      <c r="J9" s="13">
        <v>26.6</v>
      </c>
      <c r="K9" s="13">
        <v>5.57</v>
      </c>
    </row>
    <row r="10" spans="1:12" ht="16.5" thickBot="1" x14ac:dyDescent="0.3">
      <c r="A10" s="52">
        <v>8</v>
      </c>
      <c r="B10" s="5">
        <v>100</v>
      </c>
      <c r="C10" s="5">
        <v>24.1</v>
      </c>
      <c r="D10" s="5">
        <v>250</v>
      </c>
      <c r="E10" s="5">
        <v>70</v>
      </c>
      <c r="F10" s="53">
        <v>2.3300000000000001E-2</v>
      </c>
      <c r="H10" s="13" t="s">
        <v>26</v>
      </c>
      <c r="I10" s="13"/>
      <c r="J10" s="13" t="s">
        <v>27</v>
      </c>
      <c r="K10" s="13" t="s">
        <v>56</v>
      </c>
    </row>
    <row r="11" spans="1:12" x14ac:dyDescent="0.25">
      <c r="H11" s="13">
        <v>9</v>
      </c>
      <c r="I11" s="13"/>
      <c r="J11" s="13">
        <v>12</v>
      </c>
      <c r="K11" s="13" t="s">
        <v>57</v>
      </c>
    </row>
    <row r="12" spans="1:12" x14ac:dyDescent="0.25">
      <c r="B12" s="13" t="s">
        <v>53</v>
      </c>
      <c r="C12" s="13" t="s">
        <v>54</v>
      </c>
      <c r="E12" s="13" t="s">
        <v>55</v>
      </c>
      <c r="F12" s="13" t="s">
        <v>54</v>
      </c>
    </row>
    <row r="13" spans="1:12" x14ac:dyDescent="0.25">
      <c r="B13" s="13">
        <v>1</v>
      </c>
      <c r="C13" s="23">
        <v>6886.7</v>
      </c>
      <c r="E13" s="6">
        <v>1</v>
      </c>
      <c r="F13" s="6">
        <f>13600*9.8/1000</f>
        <v>133.28</v>
      </c>
    </row>
    <row r="16" spans="1:12" x14ac:dyDescent="0.25">
      <c r="C16" s="35" t="s">
        <v>82</v>
      </c>
      <c r="D16" s="35"/>
      <c r="E16" s="35"/>
      <c r="F16" s="28">
        <v>1</v>
      </c>
    </row>
    <row r="17" spans="1:10" ht="15.75" thickBot="1" x14ac:dyDescent="0.3">
      <c r="C17" s="36"/>
      <c r="D17" s="36"/>
      <c r="E17" s="36"/>
    </row>
    <row r="18" spans="1:10" ht="18.75" thickBot="1" x14ac:dyDescent="0.3">
      <c r="A18" s="51" t="s">
        <v>48</v>
      </c>
      <c r="B18" s="1" t="s">
        <v>78</v>
      </c>
      <c r="C18" s="1" t="s">
        <v>62</v>
      </c>
      <c r="D18" s="1" t="s">
        <v>79</v>
      </c>
      <c r="E18" s="1" t="s">
        <v>80</v>
      </c>
      <c r="F18" s="1" t="s">
        <v>81</v>
      </c>
      <c r="G18" s="13"/>
      <c r="H18" s="13"/>
      <c r="I18" s="13"/>
      <c r="J18" s="13"/>
    </row>
    <row r="19" spans="1:10" ht="16.5" thickBot="1" x14ac:dyDescent="0.3">
      <c r="A19" s="52">
        <v>1</v>
      </c>
      <c r="B19" s="17">
        <f>((B3/1000)*$J$3)/C3</f>
        <v>3.1957980741173036E-3</v>
      </c>
      <c r="C19" s="21">
        <f>B19/($I$9/10000)</f>
        <v>2.4395405145933617</v>
      </c>
      <c r="D19" s="21">
        <f>((D3-E3)*1000)/($I$7*9.8)</f>
        <v>1.5352178985937404</v>
      </c>
      <c r="E19" s="21">
        <f>(D19*2*9.8)/C19^2</f>
        <v>5.0560344723131418</v>
      </c>
      <c r="F19" s="21">
        <f>(E19*($H$9/1000))/F3</f>
        <v>9.1277082509016001</v>
      </c>
      <c r="G19" s="13"/>
      <c r="H19" s="13"/>
      <c r="I19" s="13"/>
      <c r="J19" s="13"/>
    </row>
    <row r="20" spans="1:10" ht="16.5" thickBot="1" x14ac:dyDescent="0.3">
      <c r="A20" s="52">
        <v>2</v>
      </c>
      <c r="B20" s="17">
        <f t="shared" ref="B20:B26" si="0">((B4/1000)*$J$3)/C4</f>
        <v>2.9299090422685928E-3</v>
      </c>
      <c r="C20" s="21">
        <f t="shared" ref="C20:C26" si="1">B20/($I$9/10000)</f>
        <v>2.2365717879912923</v>
      </c>
      <c r="D20" s="21">
        <f t="shared" ref="D20:D26" si="2">((D4-E4)*1000)/($I$7*9.8)</f>
        <v>4.939307719075595</v>
      </c>
      <c r="E20" s="21">
        <f t="shared" ref="E20:E26" si="3">(D20*2*9.8)/C20^2</f>
        <v>19.353364228425619</v>
      </c>
      <c r="F20" s="21">
        <f t="shared" ref="F20:F26" si="4">(E20*($H$9/1000))/F4</f>
        <v>34.784901344483046</v>
      </c>
      <c r="G20" s="13"/>
      <c r="H20" s="13"/>
      <c r="I20" s="13"/>
      <c r="J20" s="13"/>
    </row>
    <row r="21" spans="1:10" ht="16.5" thickBot="1" x14ac:dyDescent="0.3">
      <c r="A21" s="52">
        <v>3</v>
      </c>
      <c r="B21" s="17">
        <f t="shared" si="0"/>
        <v>2.5952606635071089E-3</v>
      </c>
      <c r="C21" s="21">
        <f t="shared" si="1"/>
        <v>1.9811150103107702</v>
      </c>
      <c r="D21" s="21">
        <f t="shared" si="2"/>
        <v>11.785356068204612</v>
      </c>
      <c r="E21" s="21">
        <f t="shared" si="3"/>
        <v>58.854463158458671</v>
      </c>
      <c r="F21" s="21">
        <f t="shared" si="4"/>
        <v>104.4026998637006</v>
      </c>
      <c r="G21" s="13"/>
      <c r="H21" s="13"/>
      <c r="I21" s="13"/>
      <c r="J21" s="13"/>
    </row>
    <row r="22" spans="1:10" ht="16.5" thickBot="1" x14ac:dyDescent="0.3">
      <c r="A22" s="52">
        <v>4</v>
      </c>
      <c r="B22" s="17">
        <f t="shared" si="0"/>
        <v>2.8060466307968232E-3</v>
      </c>
      <c r="C22" s="21">
        <f t="shared" si="1"/>
        <v>2.1420203288525368</v>
      </c>
      <c r="D22" s="21">
        <f t="shared" si="2"/>
        <v>8.6995680920311962</v>
      </c>
      <c r="E22" s="21">
        <f t="shared" si="3"/>
        <v>37.162642429163597</v>
      </c>
      <c r="F22" s="21">
        <f t="shared" si="4"/>
        <v>45.807728432322499</v>
      </c>
      <c r="G22" s="13"/>
      <c r="H22" s="13"/>
      <c r="I22" s="13"/>
      <c r="J22" s="13"/>
    </row>
    <row r="23" spans="1:10" ht="16.5" thickBot="1" x14ac:dyDescent="0.3">
      <c r="A23" s="52">
        <v>5</v>
      </c>
      <c r="B23" s="17">
        <f t="shared" si="0"/>
        <v>1.7721682847896441E-3</v>
      </c>
      <c r="C23" s="21">
        <f>B23/($I$9/10000)</f>
        <v>1.3528002173966749</v>
      </c>
      <c r="D23" s="21">
        <f t="shared" si="2"/>
        <v>22.582031809714859</v>
      </c>
      <c r="E23" s="21">
        <f>(D23*2*9.8)/(C23^2)</f>
        <v>241.85315513504077</v>
      </c>
      <c r="F23" s="21">
        <f>(E23*($H$9/1000))/F7</f>
        <v>412.87065813847954</v>
      </c>
      <c r="G23" s="13"/>
      <c r="H23" s="13"/>
      <c r="I23" s="13"/>
      <c r="J23" s="13"/>
    </row>
    <row r="24" spans="1:10" ht="16.5" thickBot="1" x14ac:dyDescent="0.3">
      <c r="A24" s="52">
        <v>6</v>
      </c>
      <c r="B24" s="17">
        <f t="shared" si="0"/>
        <v>1.6312183497170093E-3</v>
      </c>
      <c r="C24" s="21">
        <f t="shared" si="1"/>
        <v>1.2452048471122208</v>
      </c>
      <c r="D24" s="21">
        <f t="shared" si="2"/>
        <v>24.563486377499846</v>
      </c>
      <c r="E24" s="21">
        <f>(D24*2*9.8)/C24^2</f>
        <v>310.50205151698248</v>
      </c>
      <c r="F24" s="21">
        <f t="shared" si="4"/>
        <v>523.49106206168938</v>
      </c>
      <c r="G24" s="13"/>
      <c r="H24" s="13"/>
      <c r="I24" s="13"/>
      <c r="J24" s="13"/>
    </row>
    <row r="25" spans="1:10" ht="16.5" thickBot="1" x14ac:dyDescent="0.3">
      <c r="A25" s="52">
        <v>7</v>
      </c>
      <c r="B25" s="17">
        <f t="shared" si="0"/>
        <v>1.5185801442041042E-3</v>
      </c>
      <c r="C25" s="21">
        <f t="shared" si="1"/>
        <v>1.1592214841252704</v>
      </c>
      <c r="D25" s="21">
        <f t="shared" si="2"/>
        <v>19.057171514543629</v>
      </c>
      <c r="E25" s="21">
        <f t="shared" si="3"/>
        <v>277.95959559991775</v>
      </c>
      <c r="F25" s="21">
        <f t="shared" si="4"/>
        <v>464.78489756051812</v>
      </c>
      <c r="G25" s="13"/>
      <c r="H25" s="13"/>
      <c r="I25" s="13"/>
      <c r="J25" s="13"/>
    </row>
    <row r="26" spans="1:10" ht="16.5" thickBot="1" x14ac:dyDescent="0.3">
      <c r="A26" s="52">
        <v>8</v>
      </c>
      <c r="B26" s="17">
        <f t="shared" si="0"/>
        <v>2.2721991701244813E-3</v>
      </c>
      <c r="C26" s="21">
        <f t="shared" si="1"/>
        <v>1.7345031833011308</v>
      </c>
      <c r="D26" s="21">
        <f t="shared" si="2"/>
        <v>18.422614783124885</v>
      </c>
      <c r="E26" s="21">
        <f t="shared" si="3"/>
        <v>120.02097210447816</v>
      </c>
      <c r="F26" s="21">
        <f t="shared" si="4"/>
        <v>210.16547904990162</v>
      </c>
      <c r="G26" s="13"/>
      <c r="H26" s="13"/>
      <c r="I26" s="13"/>
      <c r="J26" s="13"/>
    </row>
    <row r="27" spans="1:10" x14ac:dyDescent="0.25">
      <c r="B27" s="28">
        <v>2</v>
      </c>
      <c r="C27" s="28">
        <v>3</v>
      </c>
      <c r="D27" s="28">
        <v>4</v>
      </c>
      <c r="E27" s="28">
        <v>5</v>
      </c>
      <c r="F27" s="28">
        <v>6</v>
      </c>
    </row>
  </sheetData>
  <mergeCells count="1">
    <mergeCell ref="C16:E1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tabela 1</vt:lpstr>
      <vt:lpstr>tabela 2</vt:lpstr>
      <vt:lpstr>tabela 3</vt:lpstr>
      <vt:lpstr>tabela 4</vt:lpstr>
      <vt:lpstr>tabela 5</vt:lpstr>
      <vt:lpstr>Plan6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alemão</dc:creator>
  <cp:lastModifiedBy>alemão</cp:lastModifiedBy>
  <dcterms:created xsi:type="dcterms:W3CDTF">2014-03-16T19:37:44Z</dcterms:created>
  <dcterms:modified xsi:type="dcterms:W3CDTF">2014-03-17T23:14:39Z</dcterms:modified>
</cp:coreProperties>
</file>