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195" windowHeight="8445" activeTab="1"/>
  </bookViews>
  <sheets>
    <sheet name="dados_das_bancadas" sheetId="1" r:id="rId1"/>
    <sheet name="Cálculos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R17" i="2" l="1"/>
  <c r="Q17" i="2"/>
  <c r="R16" i="2"/>
  <c r="Q16" i="2"/>
  <c r="R15" i="2"/>
  <c r="Q15" i="2"/>
  <c r="R14" i="2"/>
  <c r="Q14" i="2"/>
  <c r="R13" i="2"/>
  <c r="Q13" i="2"/>
  <c r="R12" i="2"/>
  <c r="Q12" i="2"/>
  <c r="S7" i="2"/>
  <c r="O13" i="2"/>
  <c r="O14" i="2"/>
  <c r="O15" i="2"/>
  <c r="O16" i="2"/>
  <c r="O17" i="2"/>
  <c r="O12" i="2"/>
  <c r="N17" i="2"/>
  <c r="N16" i="2"/>
  <c r="N15" i="2"/>
  <c r="N14" i="2"/>
  <c r="N13" i="2"/>
  <c r="N12" i="2"/>
  <c r="S6" i="2"/>
  <c r="S5" i="2"/>
  <c r="S4" i="2"/>
  <c r="S3" i="2"/>
  <c r="S2" i="2"/>
  <c r="R7" i="2" l="1"/>
  <c r="R6" i="2"/>
  <c r="R5" i="2"/>
  <c r="R4" i="2"/>
  <c r="R3" i="2"/>
  <c r="R2" i="2"/>
  <c r="Q3" i="2"/>
  <c r="Q4" i="2"/>
  <c r="Q5" i="2"/>
  <c r="Q6" i="2"/>
  <c r="Q7" i="2"/>
  <c r="Q2" i="2"/>
  <c r="P7" i="2"/>
  <c r="P6" i="2"/>
  <c r="P5" i="2"/>
  <c r="P4" i="2"/>
  <c r="P3" i="2"/>
  <c r="P2" i="2"/>
  <c r="N7" i="2"/>
  <c r="N6" i="2"/>
  <c r="N5" i="2"/>
  <c r="N4" i="2"/>
  <c r="N3" i="2"/>
  <c r="N2" i="2"/>
  <c r="M7" i="2"/>
  <c r="O7" i="2" s="1"/>
  <c r="M6" i="2"/>
  <c r="O6" i="2" s="1"/>
  <c r="M5" i="2"/>
  <c r="O5" i="2" s="1"/>
  <c r="M4" i="2"/>
  <c r="O4" i="2" s="1"/>
  <c r="M3" i="2"/>
  <c r="O3" i="2" s="1"/>
  <c r="M2" i="2"/>
  <c r="O2" i="2" s="1"/>
  <c r="J7" i="2"/>
  <c r="J6" i="2"/>
  <c r="J5" i="2"/>
  <c r="J4" i="2"/>
  <c r="J3" i="2"/>
  <c r="J2" i="2"/>
  <c r="I7" i="2"/>
  <c r="I6" i="2"/>
  <c r="I5" i="2"/>
  <c r="I4" i="2"/>
  <c r="I3" i="2"/>
  <c r="I2" i="2"/>
  <c r="L13" i="2"/>
  <c r="B7" i="2"/>
  <c r="F7" i="2" s="1"/>
  <c r="G7" i="2" s="1"/>
  <c r="B6" i="2"/>
  <c r="F6" i="2" s="1"/>
  <c r="G6" i="2" s="1"/>
  <c r="B5" i="2"/>
  <c r="F5" i="2" s="1"/>
  <c r="G5" i="2" s="1"/>
  <c r="B4" i="2"/>
  <c r="F4" i="2" s="1"/>
  <c r="G4" i="2" s="1"/>
  <c r="B3" i="2"/>
  <c r="F3" i="2" s="1"/>
  <c r="G3" i="2" s="1"/>
  <c r="B2" i="2"/>
  <c r="C2" i="2" s="1"/>
  <c r="D2" i="2" s="1"/>
  <c r="L49" i="1"/>
  <c r="L30" i="1"/>
  <c r="L11" i="1"/>
  <c r="F49" i="1"/>
  <c r="F30" i="1"/>
  <c r="F11" i="1"/>
  <c r="K6" i="2" l="1"/>
  <c r="L6" i="2" s="1"/>
  <c r="C5" i="2"/>
  <c r="D5" i="2" s="1"/>
  <c r="C3" i="2"/>
  <c r="D3" i="2" s="1"/>
  <c r="F2" i="2"/>
  <c r="G2" i="2" s="1"/>
  <c r="C6" i="2"/>
  <c r="D6" i="2" s="1"/>
  <c r="C4" i="2"/>
  <c r="D4" i="2" s="1"/>
  <c r="C7" i="2"/>
  <c r="D7" i="2" s="1"/>
  <c r="K7" i="2" l="1"/>
  <c r="L7" i="2" s="1"/>
  <c r="K3" i="2"/>
  <c r="L3" i="2" s="1"/>
  <c r="K4" i="2"/>
  <c r="L4" i="2" s="1"/>
  <c r="K5" i="2"/>
  <c r="L5" i="2" s="1"/>
  <c r="K2" i="2"/>
  <c r="L2" i="2" s="1"/>
</calcChain>
</file>

<file path=xl/sharedStrings.xml><?xml version="1.0" encoding="utf-8"?>
<sst xmlns="http://schemas.openxmlformats.org/spreadsheetml/2006/main" count="227" uniqueCount="77">
  <si>
    <t>he (cm)</t>
  </si>
  <si>
    <t>hs (cm)</t>
  </si>
  <si>
    <t>1,5"</t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</si>
  <si>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Arial"/>
        <family val="2"/>
      </rPr>
      <t>h (mm)</t>
    </r>
  </si>
  <si>
    <t>t (s)</t>
  </si>
  <si>
    <t>74,5x74</t>
  </si>
  <si>
    <t>Ponto de shut-off</t>
  </si>
  <si>
    <r>
      <t>p</t>
    </r>
    <r>
      <rPr>
        <vertAlign val="subscript"/>
        <sz val="11"/>
        <color theme="1"/>
        <rFont val="Arial"/>
        <family val="2"/>
      </rPr>
      <t>me</t>
    </r>
    <r>
      <rPr>
        <sz val="11"/>
        <color theme="1"/>
        <rFont val="Arial"/>
        <family val="2"/>
      </rPr>
      <t xml:space="preserve"> (mmHg)</t>
    </r>
  </si>
  <si>
    <r>
      <t>D</t>
    </r>
    <r>
      <rPr>
        <vertAlign val="subscript"/>
        <sz val="11"/>
        <color theme="1"/>
        <rFont val="Arial"/>
        <family val="2"/>
      </rPr>
      <t>aB</t>
    </r>
    <r>
      <rPr>
        <sz val="11"/>
        <color theme="1"/>
        <rFont val="Arial"/>
        <family val="2"/>
      </rPr>
      <t xml:space="preserve"> (pol)</t>
    </r>
  </si>
  <si>
    <r>
      <t>D</t>
    </r>
    <r>
      <rPr>
        <vertAlign val="subscript"/>
        <sz val="11"/>
        <color theme="1"/>
        <rFont val="Arial"/>
        <family val="2"/>
      </rPr>
      <t>dB</t>
    </r>
    <r>
      <rPr>
        <sz val="11"/>
        <color theme="1"/>
        <rFont val="Arial"/>
        <family val="2"/>
      </rPr>
      <t xml:space="preserve"> (pol)</t>
    </r>
  </si>
  <si>
    <r>
      <t>D</t>
    </r>
    <r>
      <rPr>
        <vertAlign val="subscript"/>
        <sz val="11"/>
        <color theme="1"/>
        <rFont val="Arial"/>
        <family val="2"/>
      </rPr>
      <t>saída_tub</t>
    </r>
    <r>
      <rPr>
        <sz val="11"/>
        <color theme="1"/>
        <rFont val="Arial"/>
        <family val="2"/>
      </rPr>
      <t xml:space="preserve"> (pol)</t>
    </r>
  </si>
  <si>
    <t>Cálculo da vazão</t>
  </si>
  <si>
    <t>Correção das pressões</t>
  </si>
  <si>
    <t>Diâmetros nominais</t>
  </si>
  <si>
    <r>
      <t>At (cm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)</t>
    </r>
  </si>
  <si>
    <t>Válvula gaveta</t>
  </si>
  <si>
    <r>
      <t>p</t>
    </r>
    <r>
      <rPr>
        <vertAlign val="subscript"/>
        <sz val="11"/>
        <color theme="1"/>
        <rFont val="Arial"/>
        <family val="2"/>
      </rPr>
      <t>me</t>
    </r>
    <r>
      <rPr>
        <sz val="11"/>
        <color theme="1"/>
        <rFont val="Arial"/>
        <family val="2"/>
      </rPr>
      <t xml:space="preserve"> (psi)</t>
    </r>
  </si>
  <si>
    <r>
      <t>p</t>
    </r>
    <r>
      <rPr>
        <vertAlign val="subscript"/>
        <sz val="11"/>
        <color theme="1"/>
        <rFont val="Arial"/>
        <family val="2"/>
      </rPr>
      <t>ms</t>
    </r>
    <r>
      <rPr>
        <sz val="11"/>
        <color theme="1"/>
        <rFont val="Arial"/>
        <family val="2"/>
      </rPr>
      <t xml:space="preserve"> (psi)</t>
    </r>
  </si>
  <si>
    <r>
      <t xml:space="preserve">z </t>
    </r>
    <r>
      <rPr>
        <vertAlign val="subscript"/>
        <sz val="11"/>
        <color theme="1"/>
        <rFont val="Arial"/>
        <family val="2"/>
      </rPr>
      <t>nível→eixo_bomba</t>
    </r>
  </si>
  <si>
    <r>
      <t>L</t>
    </r>
    <r>
      <rPr>
        <vertAlign val="subscript"/>
        <sz val="11"/>
        <color theme="1"/>
        <rFont val="Arial"/>
        <family val="2"/>
      </rPr>
      <t>(perda de carga dist.)</t>
    </r>
  </si>
  <si>
    <t>Alturas (cm)</t>
  </si>
  <si>
    <t>BANCADA 01</t>
  </si>
  <si>
    <t>BANCADA 02</t>
  </si>
  <si>
    <t>74x74</t>
  </si>
  <si>
    <t>BANCADA 03</t>
  </si>
  <si>
    <t>BANCADA 04</t>
  </si>
  <si>
    <t>BANCADA 05</t>
  </si>
  <si>
    <t>BANCADA 06</t>
  </si>
  <si>
    <t>74,5x73,5</t>
  </si>
  <si>
    <t>73,5x73,5</t>
  </si>
  <si>
    <r>
      <t>p</t>
    </r>
    <r>
      <rPr>
        <vertAlign val="subscript"/>
        <sz val="11"/>
        <color theme="1"/>
        <rFont val="Arial"/>
        <family val="2"/>
      </rPr>
      <t>me</t>
    </r>
    <r>
      <rPr>
        <sz val="11"/>
        <color theme="1"/>
        <rFont val="Arial"/>
        <family val="2"/>
      </rPr>
      <t xml:space="preserve"> (KPa)</t>
    </r>
  </si>
  <si>
    <r>
      <t>p</t>
    </r>
    <r>
      <rPr>
        <vertAlign val="subscript"/>
        <sz val="11"/>
        <color theme="1"/>
        <rFont val="Arial"/>
        <family val="2"/>
      </rPr>
      <t>ms</t>
    </r>
    <r>
      <rPr>
        <sz val="11"/>
        <color theme="1"/>
        <rFont val="Arial"/>
        <family val="2"/>
      </rPr>
      <t xml:space="preserve"> (KPa)</t>
    </r>
  </si>
  <si>
    <t>1"</t>
  </si>
  <si>
    <t>2"</t>
  </si>
  <si>
    <r>
      <rPr>
        <b/>
        <sz val="11"/>
        <color theme="1"/>
        <rFont val="Arial"/>
        <family val="2"/>
      </rPr>
      <t>75%</t>
    </r>
    <r>
      <rPr>
        <sz val="11"/>
        <color theme="1"/>
        <rFont val="Arial"/>
        <family val="2"/>
      </rPr>
      <t xml:space="preserve"> p</t>
    </r>
    <r>
      <rPr>
        <vertAlign val="subscript"/>
        <sz val="11"/>
        <color theme="1"/>
        <rFont val="Arial"/>
        <family val="2"/>
      </rPr>
      <t>ms</t>
    </r>
    <r>
      <rPr>
        <sz val="11"/>
        <color theme="1"/>
        <rFont val="Arial"/>
        <family val="2"/>
      </rPr>
      <t xml:space="preserve"> shut-off</t>
    </r>
  </si>
  <si>
    <r>
      <rPr>
        <b/>
        <sz val="11"/>
        <color theme="1"/>
        <rFont val="Arial"/>
        <family val="2"/>
      </rPr>
      <t>70%</t>
    </r>
    <r>
      <rPr>
        <sz val="11"/>
        <color theme="1"/>
        <rFont val="Arial"/>
        <family val="2"/>
      </rPr>
      <t xml:space="preserve"> p</t>
    </r>
    <r>
      <rPr>
        <vertAlign val="subscript"/>
        <sz val="11"/>
        <color theme="1"/>
        <rFont val="Arial"/>
        <family val="2"/>
      </rPr>
      <t>ms</t>
    </r>
    <r>
      <rPr>
        <sz val="11"/>
        <color theme="1"/>
        <rFont val="Arial"/>
        <family val="2"/>
      </rPr>
      <t xml:space="preserve"> shut-off</t>
    </r>
  </si>
  <si>
    <r>
      <rPr>
        <b/>
        <sz val="11"/>
        <color theme="1"/>
        <rFont val="Arial"/>
        <family val="2"/>
      </rPr>
      <t>80%</t>
    </r>
    <r>
      <rPr>
        <sz val="11"/>
        <color theme="1"/>
        <rFont val="Arial"/>
        <family val="2"/>
      </rPr>
      <t xml:space="preserve"> p</t>
    </r>
    <r>
      <rPr>
        <vertAlign val="subscript"/>
        <sz val="11"/>
        <color theme="1"/>
        <rFont val="Arial"/>
        <family val="2"/>
      </rPr>
      <t>ms</t>
    </r>
    <r>
      <rPr>
        <sz val="11"/>
        <color theme="1"/>
        <rFont val="Arial"/>
        <family val="2"/>
      </rPr>
      <t xml:space="preserve"> shut-off</t>
    </r>
  </si>
  <si>
    <r>
      <rPr>
        <b/>
        <sz val="11"/>
        <color theme="1"/>
        <rFont val="Arial"/>
        <family val="2"/>
      </rPr>
      <t>72%</t>
    </r>
    <r>
      <rPr>
        <sz val="11"/>
        <color theme="1"/>
        <rFont val="Arial"/>
        <family val="2"/>
      </rPr>
      <t xml:space="preserve"> p</t>
    </r>
    <r>
      <rPr>
        <vertAlign val="subscript"/>
        <sz val="11"/>
        <color theme="1"/>
        <rFont val="Arial"/>
        <family val="2"/>
      </rPr>
      <t>ms</t>
    </r>
    <r>
      <rPr>
        <sz val="11"/>
        <color theme="1"/>
        <rFont val="Arial"/>
        <family val="2"/>
      </rPr>
      <t xml:space="preserve"> shut-off</t>
    </r>
  </si>
  <si>
    <r>
      <t>z</t>
    </r>
    <r>
      <rPr>
        <vertAlign val="subscript"/>
        <sz val="10"/>
        <color theme="1"/>
        <rFont val="Arial"/>
        <family val="2"/>
      </rPr>
      <t>eixo_tubulação_sup→chão</t>
    </r>
  </si>
  <si>
    <r>
      <t>z</t>
    </r>
    <r>
      <rPr>
        <vertAlign val="subscript"/>
        <sz val="11"/>
        <color theme="1"/>
        <rFont val="Arial"/>
        <family val="2"/>
      </rPr>
      <t>eixo_tubulação_sup→chão</t>
    </r>
  </si>
  <si>
    <r>
      <t>z</t>
    </r>
    <r>
      <rPr>
        <vertAlign val="subscript"/>
        <sz val="11"/>
        <color theme="1"/>
        <rFont val="Arial"/>
        <family val="2"/>
      </rPr>
      <t>eixo_tub.→saída_tubo</t>
    </r>
  </si>
  <si>
    <r>
      <t></t>
    </r>
    <r>
      <rPr>
        <sz val="11"/>
        <color theme="1"/>
        <rFont val="Arial"/>
        <family val="2"/>
      </rPr>
      <t>z</t>
    </r>
    <r>
      <rPr>
        <vertAlign val="subscript"/>
        <sz val="11"/>
        <color theme="1"/>
        <rFont val="Arial"/>
        <family val="2"/>
      </rPr>
      <t>entrada_saída_da_bomba</t>
    </r>
  </si>
  <si>
    <r>
      <t>Z</t>
    </r>
    <r>
      <rPr>
        <vertAlign val="subscript"/>
        <sz val="14"/>
        <color rgb="FF000000"/>
        <rFont val="Times New Roman"/>
        <family val="1"/>
      </rPr>
      <t>1</t>
    </r>
    <r>
      <rPr>
        <sz val="14"/>
        <color rgb="FF000000"/>
        <rFont val="Times New Roman"/>
        <family val="1"/>
      </rPr>
      <t xml:space="preserve"> = z nível→eixo_bomba ; Z</t>
    </r>
    <r>
      <rPr>
        <vertAlign val="subscript"/>
        <sz val="14"/>
        <color rgb="FF000000"/>
        <rFont val="Times New Roman"/>
        <family val="1"/>
      </rPr>
      <t>2</t>
    </r>
    <r>
      <rPr>
        <sz val="14"/>
        <color rgb="FF000000"/>
        <rFont val="Times New Roman"/>
        <family val="1"/>
      </rPr>
      <t xml:space="preserve"> = </t>
    </r>
    <r>
      <rPr>
        <sz val="14"/>
        <color rgb="FF000000"/>
        <rFont val="Symbol"/>
        <family val="1"/>
        <charset val="2"/>
      </rPr>
      <t>D</t>
    </r>
    <r>
      <rPr>
        <sz val="14"/>
        <color rgb="FF000000"/>
        <rFont val="Verdana"/>
        <family val="2"/>
      </rPr>
      <t>z</t>
    </r>
    <r>
      <rPr>
        <vertAlign val="subscript"/>
        <sz val="14"/>
        <color rgb="FF000000"/>
        <rFont val="Verdana"/>
        <family val="2"/>
      </rPr>
      <t>entrada_saída_da_bomba</t>
    </r>
    <r>
      <rPr>
        <sz val="14"/>
        <color rgb="FF000000"/>
        <rFont val="Verdana"/>
        <family val="2"/>
      </rPr>
      <t>;</t>
    </r>
  </si>
  <si>
    <r>
      <t>Z</t>
    </r>
    <r>
      <rPr>
        <vertAlign val="subscript"/>
        <sz val="14"/>
        <color rgb="FF000000"/>
        <rFont val="Verdana"/>
        <family val="2"/>
      </rPr>
      <t>3</t>
    </r>
    <r>
      <rPr>
        <sz val="14"/>
        <color rgb="FF000000"/>
        <rFont val="Verdana"/>
        <family val="2"/>
      </rPr>
      <t xml:space="preserve"> = z</t>
    </r>
    <r>
      <rPr>
        <vertAlign val="subscript"/>
        <sz val="14"/>
        <color rgb="FF000000"/>
        <rFont val="Verdana"/>
        <family val="2"/>
      </rPr>
      <t>eixo_tubulação_sup</t>
    </r>
    <r>
      <rPr>
        <vertAlign val="subscript"/>
        <sz val="14"/>
        <color rgb="FF000000"/>
        <rFont val="Arial"/>
        <family val="2"/>
      </rPr>
      <t>→</t>
    </r>
    <r>
      <rPr>
        <vertAlign val="subscript"/>
        <sz val="14"/>
        <color rgb="FF000000"/>
        <rFont val="Verdana"/>
        <family val="2"/>
      </rPr>
      <t>chão</t>
    </r>
    <r>
      <rPr>
        <sz val="14"/>
        <color rgb="FF000000"/>
        <rFont val="Verdana"/>
        <family val="2"/>
      </rPr>
      <t>; Z</t>
    </r>
    <r>
      <rPr>
        <vertAlign val="subscript"/>
        <sz val="14"/>
        <color rgb="FF000000"/>
        <rFont val="Verdana"/>
        <family val="2"/>
      </rPr>
      <t>4</t>
    </r>
    <r>
      <rPr>
        <sz val="14"/>
        <color rgb="FF000000"/>
        <rFont val="Verdana"/>
        <family val="2"/>
      </rPr>
      <t xml:space="preserve"> = z</t>
    </r>
    <r>
      <rPr>
        <vertAlign val="subscript"/>
        <sz val="14"/>
        <color rgb="FF000000"/>
        <rFont val="Verdana"/>
        <family val="2"/>
      </rPr>
      <t>eixo_tub.</t>
    </r>
    <r>
      <rPr>
        <vertAlign val="subscript"/>
        <sz val="14"/>
        <color rgb="FF000000"/>
        <rFont val="Arial"/>
        <family val="2"/>
      </rPr>
      <t>→</t>
    </r>
    <r>
      <rPr>
        <vertAlign val="subscript"/>
        <sz val="14"/>
        <color rgb="FF000000"/>
        <rFont val="Verdana"/>
        <family val="2"/>
      </rPr>
      <t>saída_tubo</t>
    </r>
    <r>
      <rPr>
        <sz val="14"/>
        <color rgb="FF000000"/>
        <rFont val="Verdana"/>
        <family val="2"/>
      </rPr>
      <t>.</t>
    </r>
    <r>
      <rPr>
        <vertAlign val="subscript"/>
        <sz val="14"/>
        <color rgb="FF000000"/>
        <rFont val="Verdana"/>
        <family val="2"/>
      </rPr>
      <t xml:space="preserve"> </t>
    </r>
  </si>
  <si>
    <t>Q (m³/s)</t>
  </si>
  <si>
    <t>bancadas</t>
  </si>
  <si>
    <r>
      <t>v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(m/s)</t>
    </r>
  </si>
  <si>
    <r>
      <t>Re</t>
    </r>
    <r>
      <rPr>
        <vertAlign val="subscript"/>
        <sz val="11"/>
        <color theme="1"/>
        <rFont val="Calibri"/>
        <family val="2"/>
        <scheme val="minor"/>
      </rPr>
      <t>e</t>
    </r>
  </si>
  <si>
    <r>
      <rPr>
        <sz val="11"/>
        <color theme="1"/>
        <rFont val="Symbol"/>
        <family val="1"/>
        <charset val="2"/>
      </rPr>
      <t>a</t>
    </r>
    <r>
      <rPr>
        <vertAlign val="subscript"/>
        <sz val="11"/>
        <color theme="1"/>
        <rFont val="Calibri"/>
        <family val="2"/>
        <scheme val="minor"/>
      </rPr>
      <t>e</t>
    </r>
  </si>
  <si>
    <r>
      <t>v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(m/s)</t>
    </r>
  </si>
  <si>
    <r>
      <t>Re</t>
    </r>
    <r>
      <rPr>
        <vertAlign val="subscript"/>
        <sz val="11"/>
        <color theme="1"/>
        <rFont val="Calibri"/>
        <family val="2"/>
        <scheme val="minor"/>
      </rPr>
      <t>s</t>
    </r>
  </si>
  <si>
    <r>
      <rPr>
        <sz val="11"/>
        <color theme="1"/>
        <rFont val="Symbol"/>
        <family val="1"/>
        <charset val="2"/>
      </rPr>
      <t>a</t>
    </r>
    <r>
      <rPr>
        <vertAlign val="subscript"/>
        <sz val="11"/>
        <color theme="1"/>
        <rFont val="Calibri"/>
        <family val="2"/>
        <scheme val="minor"/>
      </rPr>
      <t>s</t>
    </r>
  </si>
  <si>
    <r>
      <t>p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(Pa)</t>
    </r>
  </si>
  <si>
    <r>
      <t>p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(Pa)</t>
    </r>
  </si>
  <si>
    <r>
      <t>H</t>
    </r>
    <r>
      <rPr>
        <vertAlign val="subscript"/>
        <sz val="11"/>
        <color theme="1"/>
        <rFont val="Calibri"/>
        <family val="2"/>
        <scheme val="minor"/>
      </rPr>
      <t>Bexp</t>
    </r>
    <r>
      <rPr>
        <sz val="11"/>
        <color theme="1"/>
        <rFont val="Calibri"/>
        <family val="2"/>
        <scheme val="minor"/>
      </rPr>
      <t>(m)</t>
    </r>
  </si>
  <si>
    <r>
      <t>H</t>
    </r>
    <r>
      <rPr>
        <vertAlign val="subscript"/>
        <sz val="11"/>
        <color rgb="FFFF0000"/>
        <rFont val="Calibri"/>
        <family val="2"/>
        <scheme val="minor"/>
      </rPr>
      <t>B3500</t>
    </r>
    <r>
      <rPr>
        <sz val="11"/>
        <color rgb="FFFF0000"/>
        <rFont val="Calibri"/>
        <family val="2"/>
        <scheme val="minor"/>
      </rPr>
      <t xml:space="preserve"> (m)</t>
    </r>
  </si>
  <si>
    <r>
      <rPr>
        <sz val="11"/>
        <color theme="1"/>
        <rFont val="Symbol"/>
        <family val="1"/>
        <charset val="2"/>
      </rPr>
      <t>r</t>
    </r>
    <r>
      <rPr>
        <vertAlign val="subscript"/>
        <sz val="11"/>
        <color theme="1"/>
        <rFont val="Calibri"/>
        <family val="2"/>
        <scheme val="minor"/>
      </rPr>
      <t>água</t>
    </r>
    <r>
      <rPr>
        <sz val="11"/>
        <color theme="1"/>
        <rFont val="Calibri"/>
        <family val="2"/>
        <scheme val="minor"/>
      </rPr>
      <t xml:space="preserve"> (kg/m³)</t>
    </r>
  </si>
  <si>
    <r>
      <t>n</t>
    </r>
    <r>
      <rPr>
        <vertAlign val="subscript"/>
        <sz val="11"/>
        <color theme="1"/>
        <rFont val="Calibri"/>
        <family val="2"/>
        <scheme val="minor"/>
      </rPr>
      <t>lida</t>
    </r>
    <r>
      <rPr>
        <sz val="11"/>
        <color theme="1"/>
        <rFont val="Calibri"/>
        <family val="2"/>
        <scheme val="minor"/>
      </rPr>
      <t xml:space="preserve"> (rpm)</t>
    </r>
  </si>
  <si>
    <t>psi para Pa</t>
  </si>
  <si>
    <r>
      <rPr>
        <sz val="11"/>
        <color theme="1"/>
        <rFont val="Symbol"/>
        <family val="1"/>
        <charset val="2"/>
      </rPr>
      <t>n</t>
    </r>
    <r>
      <rPr>
        <vertAlign val="subscript"/>
        <sz val="11"/>
        <color theme="1"/>
        <rFont val="Calibri"/>
        <family val="2"/>
        <scheme val="minor"/>
      </rPr>
      <t>água</t>
    </r>
    <r>
      <rPr>
        <sz val="11"/>
        <color theme="1"/>
        <rFont val="Calibri"/>
        <family val="2"/>
        <scheme val="minor"/>
      </rPr>
      <t xml:space="preserve"> (m²/s)</t>
    </r>
  </si>
  <si>
    <r>
      <rPr>
        <sz val="11"/>
        <color theme="1"/>
        <rFont val="Symbol"/>
        <family val="1"/>
        <charset val="2"/>
      </rPr>
      <t>r</t>
    </r>
    <r>
      <rPr>
        <vertAlign val="subscript"/>
        <sz val="11"/>
        <color theme="1"/>
        <rFont val="Calibri"/>
        <family val="2"/>
        <scheme val="minor"/>
      </rPr>
      <t>HG</t>
    </r>
    <r>
      <rPr>
        <sz val="11"/>
        <color theme="1"/>
        <rFont val="Calibri"/>
        <family val="2"/>
        <scheme val="minor"/>
      </rPr>
      <t xml:space="preserve"> (kg/m³)</t>
    </r>
  </si>
  <si>
    <r>
      <t>D</t>
    </r>
    <r>
      <rPr>
        <vertAlign val="subscript"/>
        <sz val="11"/>
        <color theme="1"/>
        <rFont val="Calibri"/>
        <family val="2"/>
        <scheme val="minor"/>
      </rPr>
      <t>eint</t>
    </r>
    <r>
      <rPr>
        <sz val="11"/>
        <color theme="1"/>
        <rFont val="Calibri"/>
        <family val="2"/>
        <scheme val="minor"/>
      </rPr>
      <t xml:space="preserve"> (mm)</t>
    </r>
  </si>
  <si>
    <r>
      <t>D</t>
    </r>
    <r>
      <rPr>
        <vertAlign val="subscript"/>
        <sz val="11"/>
        <color theme="1"/>
        <rFont val="Calibri"/>
        <family val="2"/>
        <scheme val="minor"/>
      </rPr>
      <t>sint</t>
    </r>
    <r>
      <rPr>
        <sz val="11"/>
        <color theme="1"/>
        <rFont val="Calibri"/>
        <family val="2"/>
        <scheme val="minor"/>
      </rPr>
      <t xml:space="preserve"> (mm)</t>
    </r>
  </si>
  <si>
    <r>
      <t>h</t>
    </r>
    <r>
      <rPr>
        <vertAlign val="subscript"/>
        <sz val="11"/>
        <color rgb="FFFF0000"/>
        <rFont val="Calibri"/>
        <family val="2"/>
        <scheme val="minor"/>
      </rPr>
      <t>s</t>
    </r>
    <r>
      <rPr>
        <sz val="11"/>
        <color rgb="FFFF0000"/>
        <rFont val="Calibri"/>
        <family val="2"/>
        <scheme val="minor"/>
      </rPr>
      <t>(m)</t>
    </r>
  </si>
  <si>
    <r>
      <t>D</t>
    </r>
    <r>
      <rPr>
        <sz val="11"/>
        <color theme="1"/>
        <rFont val="Arial"/>
        <family val="2"/>
      </rPr>
      <t>h</t>
    </r>
    <r>
      <rPr>
        <vertAlign val="subscript"/>
        <sz val="11"/>
        <color theme="1"/>
        <rFont val="Arial"/>
        <family val="2"/>
      </rPr>
      <t>manômetro_U_hf</t>
    </r>
    <r>
      <rPr>
        <sz val="11"/>
        <color theme="1"/>
        <rFont val="Arial"/>
        <family val="2"/>
      </rPr>
      <t xml:space="preserve"> (mm)</t>
    </r>
  </si>
  <si>
    <r>
      <t>h</t>
    </r>
    <r>
      <rPr>
        <vertAlign val="subscript"/>
        <sz val="11"/>
        <color rgb="FFFF0000"/>
        <rFont val="Calibri"/>
        <family val="2"/>
        <scheme val="minor"/>
      </rPr>
      <t>f</t>
    </r>
    <r>
      <rPr>
        <sz val="11"/>
        <color rgb="FFFF0000"/>
        <rFont val="Calibri"/>
        <family val="2"/>
        <scheme val="minor"/>
      </rPr>
      <t>(m)</t>
    </r>
  </si>
  <si>
    <t>Ks</t>
  </si>
  <si>
    <t>Leq (m)</t>
  </si>
  <si>
    <t>f</t>
  </si>
  <si>
    <r>
      <t>Hp</t>
    </r>
    <r>
      <rPr>
        <vertAlign val="subscript"/>
        <sz val="11"/>
        <color rgb="FFFF0000"/>
        <rFont val="Calibri"/>
        <family val="2"/>
        <scheme val="minor"/>
      </rPr>
      <t>aB</t>
    </r>
    <r>
      <rPr>
        <sz val="11"/>
        <color rgb="FFFF0000"/>
        <rFont val="Calibri"/>
        <family val="2"/>
        <scheme val="minor"/>
      </rPr>
      <t xml:space="preserve"> (m)</t>
    </r>
  </si>
  <si>
    <r>
      <t>Hp</t>
    </r>
    <r>
      <rPr>
        <vertAlign val="subscript"/>
        <sz val="11"/>
        <color rgb="FFFF0000"/>
        <rFont val="Calibri"/>
        <family val="2"/>
        <scheme val="minor"/>
      </rPr>
      <t>dB</t>
    </r>
    <r>
      <rPr>
        <sz val="11"/>
        <color rgb="FFFF0000"/>
        <rFont val="Calibri"/>
        <family val="2"/>
        <scheme val="minor"/>
      </rPr>
      <t xml:space="preserve"> (m)</t>
    </r>
  </si>
  <si>
    <r>
      <t>z</t>
    </r>
    <r>
      <rPr>
        <vertAlign val="subscript"/>
        <sz val="11"/>
        <color theme="1"/>
        <rFont val="Calibri"/>
        <family val="2"/>
        <scheme val="minor"/>
      </rPr>
      <t>sB</t>
    </r>
    <r>
      <rPr>
        <sz val="11"/>
        <color theme="1"/>
        <rFont val="Calibri"/>
        <family val="2"/>
        <scheme val="minor"/>
      </rPr>
      <t xml:space="preserve"> (cm)</t>
    </r>
  </si>
  <si>
    <t>Re raiz de f</t>
  </si>
  <si>
    <t>DH/K</t>
  </si>
  <si>
    <r>
      <t>f</t>
    </r>
    <r>
      <rPr>
        <vertAlign val="subscript"/>
        <sz val="11"/>
        <color theme="1"/>
        <rFont val="Calibri"/>
        <family val="2"/>
        <scheme val="minor"/>
      </rPr>
      <t>Rouse</t>
    </r>
  </si>
  <si>
    <r>
      <t>CD</t>
    </r>
    <r>
      <rPr>
        <vertAlign val="subscript"/>
        <sz val="11"/>
        <color theme="1"/>
        <rFont val="Calibri"/>
        <family val="2"/>
        <scheme val="minor"/>
      </rPr>
      <t>Rouse</t>
    </r>
  </si>
  <si>
    <r>
      <t>Q</t>
    </r>
    <r>
      <rPr>
        <vertAlign val="subscript"/>
        <sz val="11"/>
        <color rgb="FFFF0000"/>
        <rFont val="Calibri"/>
        <family val="2"/>
        <scheme val="minor"/>
      </rPr>
      <t>Rouse</t>
    </r>
    <r>
      <rPr>
        <sz val="11"/>
        <color rgb="FFFF0000"/>
        <rFont val="Calibri"/>
        <family val="2"/>
        <scheme val="minor"/>
      </rPr>
      <t xml:space="preserve"> (m³/s)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</si>
</sst>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71" formatCode="0.00000"/>
    <numFmt numFmtId="172" formatCode="0.0000"/>
    <numFmt numFmtId="173" formatCode="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Symbol"/>
      <family val="1"/>
      <charset val="2"/>
    </font>
    <font>
      <vertAlign val="subscript"/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vertAlign val="subscript"/>
      <sz val="10"/>
      <color theme="1"/>
      <name val="Arial"/>
      <family val="2"/>
    </font>
    <font>
      <sz val="14"/>
      <color rgb="FF000000"/>
      <name val="Times New Roman"/>
      <family val="1"/>
    </font>
    <font>
      <vertAlign val="subscript"/>
      <sz val="14"/>
      <color rgb="FF000000"/>
      <name val="Times New Roman"/>
      <family val="1"/>
    </font>
    <font>
      <sz val="14"/>
      <color rgb="FF000000"/>
      <name val="Symbol"/>
      <family val="1"/>
      <charset val="2"/>
    </font>
    <font>
      <sz val="14"/>
      <color rgb="FF000000"/>
      <name val="Verdana"/>
      <family val="2"/>
    </font>
    <font>
      <vertAlign val="subscript"/>
      <sz val="14"/>
      <color rgb="FF000000"/>
      <name val="Verdana"/>
      <family val="2"/>
    </font>
    <font>
      <vertAlign val="subscript"/>
      <sz val="14"/>
      <color rgb="FF000000"/>
      <name val="Arial"/>
      <family val="2"/>
    </font>
    <font>
      <vertAlign val="subscript"/>
      <sz val="11"/>
      <color theme="1"/>
      <name val="Calibri"/>
      <family val="2"/>
      <scheme val="minor"/>
    </font>
    <font>
      <vertAlign val="subscript"/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17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71" fontId="6" fillId="2" borderId="0" xfId="0" applyNumberFormat="1" applyFont="1" applyFill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11" fontId="0" fillId="0" borderId="0" xfId="0" applyNumberFormat="1" applyAlignment="1">
      <alignment horizontal="center" vertical="center"/>
    </xf>
    <xf numFmtId="173" fontId="6" fillId="2" borderId="0" xfId="0" applyNumberFormat="1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57</xdr:row>
      <xdr:rowOff>137579</xdr:rowOff>
    </xdr:from>
    <xdr:to>
      <xdr:col>13</xdr:col>
      <xdr:colOff>257175</xdr:colOff>
      <xdr:row>75</xdr:row>
      <xdr:rowOff>109004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833" y="13070412"/>
          <a:ext cx="8734425" cy="3209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topLeftCell="A45" zoomScale="90" zoomScaleNormal="90" workbookViewId="0">
      <selection activeCell="N47" sqref="N47"/>
    </sheetView>
  </sheetViews>
  <sheetFormatPr defaultRowHeight="14.25" x14ac:dyDescent="0.25"/>
  <cols>
    <col min="1" max="1" width="9.140625" style="1" customWidth="1"/>
    <col min="2" max="2" width="12.5703125" style="1" bestFit="1" customWidth="1"/>
    <col min="3" max="3" width="10" style="1" customWidth="1"/>
    <col min="4" max="4" width="0.5703125" style="1" customWidth="1"/>
    <col min="5" max="5" width="25.7109375" style="1" customWidth="1"/>
    <col min="6" max="6" width="7.85546875" style="1" customWidth="1"/>
    <col min="7" max="7" width="9.140625" style="1" customWidth="1"/>
    <col min="8" max="8" width="12.5703125" style="1" bestFit="1" customWidth="1"/>
    <col min="9" max="9" width="10" style="1" customWidth="1"/>
    <col min="10" max="10" width="0.5703125" style="1" customWidth="1"/>
    <col min="11" max="11" width="20.85546875" style="1" customWidth="1"/>
    <col min="12" max="12" width="7.7109375" style="1" customWidth="1"/>
    <col min="13" max="14" width="9.28515625" style="1" customWidth="1"/>
    <col min="15" max="17" width="9.140625" style="1" customWidth="1"/>
    <col min="18" max="18" width="7.7109375" style="1" customWidth="1"/>
    <col min="19" max="16384" width="9.140625" style="1"/>
  </cols>
  <sheetData>
    <row r="1" spans="2:12" ht="19.5" customHeight="1" thickBot="1" x14ac:dyDescent="0.3"/>
    <row r="2" spans="2:12" ht="15.75" thickBot="1" x14ac:dyDescent="0.3">
      <c r="B2" s="23" t="s">
        <v>21</v>
      </c>
      <c r="C2" s="24"/>
      <c r="D2" s="24"/>
      <c r="E2" s="24"/>
      <c r="F2" s="25"/>
      <c r="H2" s="28" t="s">
        <v>25</v>
      </c>
      <c r="I2" s="29"/>
      <c r="J2" s="29"/>
      <c r="K2" s="29"/>
      <c r="L2" s="30"/>
    </row>
    <row r="3" spans="2:12" x14ac:dyDescent="0.25">
      <c r="B3" s="26" t="s">
        <v>6</v>
      </c>
      <c r="C3" s="27"/>
      <c r="D3" s="7"/>
      <c r="E3" s="21" t="s">
        <v>13</v>
      </c>
      <c r="F3" s="22"/>
      <c r="H3" s="26" t="s">
        <v>6</v>
      </c>
      <c r="I3" s="27"/>
      <c r="J3" s="7"/>
      <c r="K3" s="21" t="s">
        <v>13</v>
      </c>
      <c r="L3" s="22"/>
    </row>
    <row r="4" spans="2:12" ht="18.75" x14ac:dyDescent="0.25">
      <c r="B4" s="9" t="s">
        <v>7</v>
      </c>
      <c r="C4" s="2">
        <v>-70</v>
      </c>
      <c r="D4" s="7"/>
      <c r="E4" s="2" t="s">
        <v>8</v>
      </c>
      <c r="F4" s="8" t="s">
        <v>2</v>
      </c>
      <c r="H4" s="9" t="s">
        <v>7</v>
      </c>
      <c r="I4" s="2">
        <v>-65</v>
      </c>
      <c r="J4" s="7"/>
      <c r="K4" s="2" t="s">
        <v>8</v>
      </c>
      <c r="L4" s="8" t="s">
        <v>2</v>
      </c>
    </row>
    <row r="5" spans="2:12" ht="18.75" x14ac:dyDescent="0.25">
      <c r="B5" s="9" t="s">
        <v>31</v>
      </c>
      <c r="C5" s="2">
        <v>265</v>
      </c>
      <c r="D5" s="7"/>
      <c r="E5" s="2" t="s">
        <v>9</v>
      </c>
      <c r="F5" s="8" t="s">
        <v>32</v>
      </c>
      <c r="H5" s="9" t="s">
        <v>31</v>
      </c>
      <c r="I5" s="2">
        <v>295</v>
      </c>
      <c r="J5" s="7"/>
      <c r="K5" s="2" t="s">
        <v>9</v>
      </c>
      <c r="L5" s="8" t="s">
        <v>32</v>
      </c>
    </row>
    <row r="6" spans="2:12" ht="18.75" x14ac:dyDescent="0.25">
      <c r="B6" s="6"/>
      <c r="C6" s="7"/>
      <c r="D6" s="7"/>
      <c r="E6" s="2" t="s">
        <v>10</v>
      </c>
      <c r="F6" s="8" t="s">
        <v>32</v>
      </c>
      <c r="H6" s="6"/>
      <c r="I6" s="7"/>
      <c r="J6" s="7"/>
      <c r="K6" s="2" t="s">
        <v>10</v>
      </c>
      <c r="L6" s="8" t="s">
        <v>32</v>
      </c>
    </row>
    <row r="7" spans="2:12" ht="18.75" x14ac:dyDescent="0.25">
      <c r="B7" s="17" t="s">
        <v>37</v>
      </c>
      <c r="C7" s="18"/>
      <c r="D7" s="7"/>
      <c r="E7" s="7"/>
      <c r="F7" s="10"/>
      <c r="H7" s="17" t="s">
        <v>34</v>
      </c>
      <c r="I7" s="18"/>
      <c r="J7" s="7"/>
      <c r="K7" s="7"/>
      <c r="L7" s="10"/>
    </row>
    <row r="8" spans="2:12" ht="18.75" x14ac:dyDescent="0.25">
      <c r="B8" s="9" t="s">
        <v>7</v>
      </c>
      <c r="C8" s="2">
        <v>-135</v>
      </c>
      <c r="D8" s="7"/>
      <c r="E8" s="21" t="s">
        <v>15</v>
      </c>
      <c r="F8" s="22"/>
      <c r="H8" s="9" t="s">
        <v>7</v>
      </c>
      <c r="I8" s="2">
        <v>-130</v>
      </c>
      <c r="J8" s="7"/>
      <c r="K8" s="21" t="s">
        <v>15</v>
      </c>
      <c r="L8" s="22"/>
    </row>
    <row r="9" spans="2:12" ht="18.75" x14ac:dyDescent="0.25">
      <c r="B9" s="9" t="s">
        <v>31</v>
      </c>
      <c r="C9" s="2">
        <v>190</v>
      </c>
      <c r="D9" s="7"/>
      <c r="E9" s="2" t="s">
        <v>16</v>
      </c>
      <c r="F9" s="8">
        <v>4</v>
      </c>
      <c r="H9" s="9" t="s">
        <v>31</v>
      </c>
      <c r="I9" s="2">
        <v>220</v>
      </c>
      <c r="J9" s="7"/>
      <c r="K9" s="2" t="s">
        <v>16</v>
      </c>
      <c r="L9" s="8">
        <v>7</v>
      </c>
    </row>
    <row r="10" spans="2:12" ht="18.75" x14ac:dyDescent="0.25">
      <c r="B10" s="6"/>
      <c r="C10" s="7"/>
      <c r="D10" s="7"/>
      <c r="E10" s="2" t="s">
        <v>17</v>
      </c>
      <c r="F10" s="8">
        <v>1</v>
      </c>
      <c r="H10" s="6"/>
      <c r="I10" s="7"/>
      <c r="J10" s="7"/>
      <c r="K10" s="2" t="s">
        <v>17</v>
      </c>
      <c r="L10" s="8">
        <v>4</v>
      </c>
    </row>
    <row r="11" spans="2:12" ht="18.75" x14ac:dyDescent="0.25">
      <c r="B11" s="19" t="s">
        <v>12</v>
      </c>
      <c r="C11" s="20"/>
      <c r="D11" s="7"/>
      <c r="E11" s="5" t="s">
        <v>64</v>
      </c>
      <c r="F11" s="8">
        <f>(42+41)</f>
        <v>83</v>
      </c>
      <c r="H11" s="19" t="s">
        <v>12</v>
      </c>
      <c r="I11" s="20"/>
      <c r="J11" s="7"/>
      <c r="K11" s="5" t="s">
        <v>64</v>
      </c>
      <c r="L11" s="8">
        <f>(55+56)</f>
        <v>111</v>
      </c>
    </row>
    <row r="12" spans="2:12" x14ac:dyDescent="0.25">
      <c r="B12" s="9" t="s">
        <v>0</v>
      </c>
      <c r="C12" s="2">
        <v>11.5</v>
      </c>
      <c r="D12" s="7"/>
      <c r="E12" s="7"/>
      <c r="F12" s="10"/>
      <c r="H12" s="9" t="s">
        <v>0</v>
      </c>
      <c r="I12" s="4">
        <v>11.5</v>
      </c>
      <c r="J12" s="7"/>
      <c r="K12" s="7"/>
      <c r="L12" s="10"/>
    </row>
    <row r="13" spans="2:12" x14ac:dyDescent="0.25">
      <c r="B13" s="9" t="s">
        <v>1</v>
      </c>
      <c r="C13" s="15">
        <v>9</v>
      </c>
      <c r="D13" s="7"/>
      <c r="E13" s="21" t="s">
        <v>20</v>
      </c>
      <c r="F13" s="22"/>
      <c r="H13" s="9" t="s">
        <v>1</v>
      </c>
      <c r="I13" s="15">
        <v>0</v>
      </c>
      <c r="J13" s="7"/>
      <c r="K13" s="21" t="s">
        <v>20</v>
      </c>
      <c r="L13" s="22"/>
    </row>
    <row r="14" spans="2:12" ht="18.75" x14ac:dyDescent="0.25">
      <c r="B14" s="6"/>
      <c r="C14" s="7"/>
      <c r="D14" s="7"/>
      <c r="E14" s="2" t="s">
        <v>18</v>
      </c>
      <c r="F14" s="8">
        <v>121</v>
      </c>
      <c r="H14" s="6"/>
      <c r="I14" s="7"/>
      <c r="J14" s="7"/>
      <c r="K14" s="2" t="s">
        <v>18</v>
      </c>
      <c r="L14" s="8">
        <v>120</v>
      </c>
    </row>
    <row r="15" spans="2:12" ht="18.75" x14ac:dyDescent="0.25">
      <c r="B15" s="19" t="s">
        <v>11</v>
      </c>
      <c r="C15" s="20"/>
      <c r="D15" s="7"/>
      <c r="E15" s="31" t="s">
        <v>38</v>
      </c>
      <c r="F15" s="8">
        <v>207.5</v>
      </c>
      <c r="H15" s="19" t="s">
        <v>11</v>
      </c>
      <c r="I15" s="20"/>
      <c r="J15" s="7"/>
      <c r="K15" s="2" t="s">
        <v>39</v>
      </c>
      <c r="L15" s="8">
        <v>207.5</v>
      </c>
    </row>
    <row r="16" spans="2:12" ht="18.75" x14ac:dyDescent="0.25">
      <c r="B16" s="9" t="s">
        <v>3</v>
      </c>
      <c r="C16" s="2">
        <v>100</v>
      </c>
      <c r="D16" s="7"/>
      <c r="E16" s="2" t="s">
        <v>40</v>
      </c>
      <c r="F16" s="8">
        <v>114.5</v>
      </c>
      <c r="H16" s="9" t="s">
        <v>3</v>
      </c>
      <c r="I16" s="2">
        <v>100</v>
      </c>
      <c r="J16" s="7"/>
      <c r="K16" s="16" t="s">
        <v>40</v>
      </c>
      <c r="L16" s="8">
        <v>111</v>
      </c>
    </row>
    <row r="17" spans="2:12" ht="18.75" x14ac:dyDescent="0.25">
      <c r="B17" s="9" t="s">
        <v>4</v>
      </c>
      <c r="C17" s="2">
        <v>32.159999999999997</v>
      </c>
      <c r="D17" s="7"/>
      <c r="E17" s="2" t="s">
        <v>19</v>
      </c>
      <c r="F17" s="8">
        <v>200</v>
      </c>
      <c r="H17" s="9" t="s">
        <v>4</v>
      </c>
      <c r="I17" s="2">
        <v>26.56</v>
      </c>
      <c r="J17" s="7"/>
      <c r="K17" s="2" t="s">
        <v>19</v>
      </c>
      <c r="L17" s="8">
        <v>199</v>
      </c>
    </row>
    <row r="18" spans="2:12" ht="19.5" thickBot="1" x14ac:dyDescent="0.3">
      <c r="B18" s="11" t="s">
        <v>14</v>
      </c>
      <c r="C18" s="12" t="s">
        <v>5</v>
      </c>
      <c r="D18" s="13"/>
      <c r="E18" s="32" t="s">
        <v>41</v>
      </c>
      <c r="F18" s="14">
        <v>22</v>
      </c>
      <c r="H18" s="11" t="s">
        <v>14</v>
      </c>
      <c r="I18" s="12" t="s">
        <v>5</v>
      </c>
      <c r="J18" s="13"/>
      <c r="K18" s="32" t="s">
        <v>41</v>
      </c>
      <c r="L18" s="14">
        <v>23</v>
      </c>
    </row>
    <row r="19" spans="2:12" x14ac:dyDescent="0.25">
      <c r="B19" s="7"/>
      <c r="C19" s="7"/>
      <c r="D19" s="7"/>
      <c r="E19" s="7"/>
      <c r="F19" s="7"/>
      <c r="H19" s="7"/>
      <c r="I19" s="7"/>
      <c r="J19" s="7"/>
      <c r="K19" s="7"/>
      <c r="L19" s="7"/>
    </row>
    <row r="20" spans="2:12" ht="19.5" customHeight="1" thickBot="1" x14ac:dyDescent="0.3"/>
    <row r="21" spans="2:12" ht="15.75" thickBot="1" x14ac:dyDescent="0.3">
      <c r="B21" s="28" t="s">
        <v>22</v>
      </c>
      <c r="C21" s="29"/>
      <c r="D21" s="29"/>
      <c r="E21" s="29"/>
      <c r="F21" s="30"/>
      <c r="H21" s="28" t="s">
        <v>26</v>
      </c>
      <c r="I21" s="29"/>
      <c r="J21" s="29"/>
      <c r="K21" s="29"/>
      <c r="L21" s="30"/>
    </row>
    <row r="22" spans="2:12" x14ac:dyDescent="0.25">
      <c r="B22" s="26" t="s">
        <v>6</v>
      </c>
      <c r="C22" s="27"/>
      <c r="D22" s="7"/>
      <c r="E22" s="21" t="s">
        <v>13</v>
      </c>
      <c r="F22" s="22"/>
      <c r="H22" s="26" t="s">
        <v>6</v>
      </c>
      <c r="I22" s="27"/>
      <c r="J22" s="7"/>
      <c r="K22" s="21" t="s">
        <v>13</v>
      </c>
      <c r="L22" s="22"/>
    </row>
    <row r="23" spans="2:12" ht="18.75" x14ac:dyDescent="0.25">
      <c r="B23" s="9" t="s">
        <v>7</v>
      </c>
      <c r="C23" s="2">
        <v>-120</v>
      </c>
      <c r="D23" s="7"/>
      <c r="E23" s="2" t="s">
        <v>8</v>
      </c>
      <c r="F23" s="8" t="s">
        <v>2</v>
      </c>
      <c r="H23" s="9" t="s">
        <v>7</v>
      </c>
      <c r="I23" s="2">
        <v>-75</v>
      </c>
      <c r="J23" s="7"/>
      <c r="K23" s="2" t="s">
        <v>8</v>
      </c>
      <c r="L23" s="8" t="s">
        <v>2</v>
      </c>
    </row>
    <row r="24" spans="2:12" ht="18.75" x14ac:dyDescent="0.25">
      <c r="B24" s="9" t="s">
        <v>31</v>
      </c>
      <c r="C24" s="2">
        <v>250</v>
      </c>
      <c r="D24" s="7"/>
      <c r="E24" s="2" t="s">
        <v>9</v>
      </c>
      <c r="F24" s="8" t="s">
        <v>32</v>
      </c>
      <c r="H24" s="9" t="s">
        <v>31</v>
      </c>
      <c r="I24" s="2">
        <v>305</v>
      </c>
      <c r="J24" s="7"/>
      <c r="K24" s="2" t="s">
        <v>9</v>
      </c>
      <c r="L24" s="8" t="s">
        <v>32</v>
      </c>
    </row>
    <row r="25" spans="2:12" ht="18.75" x14ac:dyDescent="0.25">
      <c r="B25" s="6"/>
      <c r="C25" s="7"/>
      <c r="D25" s="7"/>
      <c r="E25" s="2" t="s">
        <v>10</v>
      </c>
      <c r="F25" s="8" t="s">
        <v>32</v>
      </c>
      <c r="H25" s="6"/>
      <c r="I25" s="7"/>
      <c r="J25" s="7"/>
      <c r="K25" s="2" t="s">
        <v>10</v>
      </c>
      <c r="L25" s="8" t="s">
        <v>32</v>
      </c>
    </row>
    <row r="26" spans="2:12" ht="18.75" x14ac:dyDescent="0.25">
      <c r="B26" s="17" t="s">
        <v>36</v>
      </c>
      <c r="C26" s="18"/>
      <c r="D26" s="7"/>
      <c r="E26" s="7"/>
      <c r="F26" s="10"/>
      <c r="H26" s="17" t="s">
        <v>35</v>
      </c>
      <c r="I26" s="18"/>
      <c r="J26" s="7"/>
      <c r="K26" s="7"/>
      <c r="L26" s="10"/>
    </row>
    <row r="27" spans="2:12" ht="18.75" x14ac:dyDescent="0.25">
      <c r="B27" s="9" t="s">
        <v>7</v>
      </c>
      <c r="C27" s="2">
        <v>-155</v>
      </c>
      <c r="D27" s="7"/>
      <c r="E27" s="21" t="s">
        <v>15</v>
      </c>
      <c r="F27" s="22"/>
      <c r="H27" s="9" t="s">
        <v>7</v>
      </c>
      <c r="I27" s="2">
        <v>-195</v>
      </c>
      <c r="J27" s="7"/>
      <c r="K27" s="21" t="s">
        <v>15</v>
      </c>
      <c r="L27" s="22"/>
    </row>
    <row r="28" spans="2:12" ht="18.75" x14ac:dyDescent="0.25">
      <c r="B28" s="9" t="s">
        <v>31</v>
      </c>
      <c r="C28" s="2">
        <v>200</v>
      </c>
      <c r="D28" s="7"/>
      <c r="E28" s="2" t="s">
        <v>16</v>
      </c>
      <c r="F28" s="8">
        <v>2</v>
      </c>
      <c r="H28" s="9" t="s">
        <v>31</v>
      </c>
      <c r="I28" s="2">
        <v>215</v>
      </c>
      <c r="J28" s="7"/>
      <c r="K28" s="2" t="s">
        <v>16</v>
      </c>
      <c r="L28" s="8">
        <v>13.5</v>
      </c>
    </row>
    <row r="29" spans="2:12" ht="18.75" x14ac:dyDescent="0.25">
      <c r="B29" s="6"/>
      <c r="C29" s="7"/>
      <c r="D29" s="7"/>
      <c r="E29" s="2" t="s">
        <v>17</v>
      </c>
      <c r="F29" s="8">
        <v>1</v>
      </c>
      <c r="H29" s="6"/>
      <c r="I29" s="7"/>
      <c r="J29" s="7"/>
      <c r="K29" s="2" t="s">
        <v>17</v>
      </c>
      <c r="L29" s="8">
        <v>10.5</v>
      </c>
    </row>
    <row r="30" spans="2:12" ht="18.75" x14ac:dyDescent="0.25">
      <c r="B30" s="19" t="s">
        <v>12</v>
      </c>
      <c r="C30" s="20"/>
      <c r="D30" s="7"/>
      <c r="E30" s="5" t="s">
        <v>64</v>
      </c>
      <c r="F30" s="8">
        <f>(26+30)</f>
        <v>56</v>
      </c>
      <c r="H30" s="19" t="s">
        <v>12</v>
      </c>
      <c r="I30" s="20"/>
      <c r="J30" s="7"/>
      <c r="K30" s="5" t="s">
        <v>64</v>
      </c>
      <c r="L30" s="8">
        <f>(71+70)</f>
        <v>141</v>
      </c>
    </row>
    <row r="31" spans="2:12" x14ac:dyDescent="0.25">
      <c r="B31" s="9" t="s">
        <v>0</v>
      </c>
      <c r="C31" s="15">
        <v>11</v>
      </c>
      <c r="D31" s="7"/>
      <c r="E31" s="7"/>
      <c r="F31" s="10"/>
      <c r="H31" s="9" t="s">
        <v>0</v>
      </c>
      <c r="I31" s="4">
        <v>13</v>
      </c>
      <c r="J31" s="7"/>
      <c r="K31" s="7"/>
      <c r="L31" s="10"/>
    </row>
    <row r="32" spans="2:12" x14ac:dyDescent="0.25">
      <c r="B32" s="9" t="s">
        <v>1</v>
      </c>
      <c r="C32" s="15">
        <v>9</v>
      </c>
      <c r="D32" s="7"/>
      <c r="E32" s="21" t="s">
        <v>20</v>
      </c>
      <c r="F32" s="22"/>
      <c r="H32" s="9" t="s">
        <v>1</v>
      </c>
      <c r="I32" s="15">
        <v>0</v>
      </c>
      <c r="J32" s="7"/>
      <c r="K32" s="21" t="s">
        <v>20</v>
      </c>
      <c r="L32" s="22"/>
    </row>
    <row r="33" spans="2:15" ht="18.75" x14ac:dyDescent="0.25">
      <c r="B33" s="6"/>
      <c r="C33" s="7"/>
      <c r="D33" s="7"/>
      <c r="E33" s="2" t="s">
        <v>18</v>
      </c>
      <c r="F33" s="8">
        <v>119</v>
      </c>
      <c r="H33" s="6"/>
      <c r="I33" s="7"/>
      <c r="J33" s="7"/>
      <c r="K33" s="2" t="s">
        <v>18</v>
      </c>
      <c r="L33" s="8">
        <v>118.5</v>
      </c>
    </row>
    <row r="34" spans="2:15" ht="18.75" x14ac:dyDescent="0.25">
      <c r="B34" s="19" t="s">
        <v>11</v>
      </c>
      <c r="C34" s="20"/>
      <c r="D34" s="7"/>
      <c r="E34" s="2" t="s">
        <v>39</v>
      </c>
      <c r="F34" s="8">
        <v>208</v>
      </c>
      <c r="H34" s="19" t="s">
        <v>11</v>
      </c>
      <c r="I34" s="20"/>
      <c r="J34" s="7"/>
      <c r="K34" s="2" t="s">
        <v>39</v>
      </c>
      <c r="L34" s="8">
        <v>205.5</v>
      </c>
    </row>
    <row r="35" spans="2:15" ht="18.75" x14ac:dyDescent="0.25">
      <c r="B35" s="9" t="s">
        <v>3</v>
      </c>
      <c r="C35" s="2">
        <v>50</v>
      </c>
      <c r="D35" s="7"/>
      <c r="E35" s="16" t="s">
        <v>40</v>
      </c>
      <c r="F35" s="8">
        <v>113.5</v>
      </c>
      <c r="H35" s="9" t="s">
        <v>3</v>
      </c>
      <c r="I35" s="2">
        <v>100</v>
      </c>
      <c r="J35" s="7"/>
      <c r="K35" s="16" t="s">
        <v>40</v>
      </c>
      <c r="L35" s="8">
        <v>112</v>
      </c>
    </row>
    <row r="36" spans="2:15" ht="18.75" x14ac:dyDescent="0.25">
      <c r="B36" s="9" t="s">
        <v>4</v>
      </c>
      <c r="C36" s="2">
        <v>20.09</v>
      </c>
      <c r="D36" s="7"/>
      <c r="E36" s="2" t="s">
        <v>19</v>
      </c>
      <c r="F36" s="8">
        <v>200.5</v>
      </c>
      <c r="H36" s="9" t="s">
        <v>4</v>
      </c>
      <c r="I36" s="2">
        <v>23.47</v>
      </c>
      <c r="J36" s="7"/>
      <c r="K36" s="2" t="s">
        <v>19</v>
      </c>
      <c r="L36" s="8">
        <v>199.5</v>
      </c>
    </row>
    <row r="37" spans="2:15" ht="19.5" thickBot="1" x14ac:dyDescent="0.3">
      <c r="B37" s="11" t="s">
        <v>14</v>
      </c>
      <c r="C37" s="12" t="s">
        <v>23</v>
      </c>
      <c r="D37" s="13"/>
      <c r="E37" s="32" t="s">
        <v>41</v>
      </c>
      <c r="F37" s="14">
        <v>21.5</v>
      </c>
      <c r="H37" s="11" t="s">
        <v>14</v>
      </c>
      <c r="I37" s="12" t="s">
        <v>28</v>
      </c>
      <c r="J37" s="13"/>
      <c r="K37" s="32" t="s">
        <v>41</v>
      </c>
      <c r="L37" s="14">
        <v>23.5</v>
      </c>
    </row>
    <row r="38" spans="2:15" x14ac:dyDescent="0.25">
      <c r="B38" s="7"/>
      <c r="C38" s="7"/>
      <c r="D38" s="7"/>
      <c r="E38" s="7"/>
      <c r="F38" s="7"/>
      <c r="H38" s="7"/>
      <c r="I38" s="7"/>
      <c r="J38" s="7"/>
      <c r="K38" s="7"/>
      <c r="L38" s="7"/>
    </row>
    <row r="39" spans="2:15" ht="15" thickBot="1" x14ac:dyDescent="0.3"/>
    <row r="40" spans="2:15" ht="15.75" thickBot="1" x14ac:dyDescent="0.3">
      <c r="B40" s="28" t="s">
        <v>24</v>
      </c>
      <c r="C40" s="29"/>
      <c r="D40" s="29"/>
      <c r="E40" s="29"/>
      <c r="F40" s="30"/>
      <c r="H40" s="28" t="s">
        <v>27</v>
      </c>
      <c r="I40" s="29"/>
      <c r="J40" s="29"/>
      <c r="K40" s="29"/>
      <c r="L40" s="30"/>
    </row>
    <row r="41" spans="2:15" x14ac:dyDescent="0.25">
      <c r="B41" s="26" t="s">
        <v>6</v>
      </c>
      <c r="C41" s="27"/>
      <c r="D41" s="7"/>
      <c r="E41" s="21" t="s">
        <v>13</v>
      </c>
      <c r="F41" s="22"/>
      <c r="H41" s="26" t="s">
        <v>6</v>
      </c>
      <c r="I41" s="27"/>
      <c r="J41" s="7"/>
      <c r="K41" s="21" t="s">
        <v>13</v>
      </c>
      <c r="L41" s="22"/>
    </row>
    <row r="42" spans="2:15" ht="18.75" x14ac:dyDescent="0.25">
      <c r="B42" s="9" t="s">
        <v>7</v>
      </c>
      <c r="C42" s="2">
        <v>-55</v>
      </c>
      <c r="D42" s="7"/>
      <c r="E42" s="2" t="s">
        <v>8</v>
      </c>
      <c r="F42" s="8" t="s">
        <v>2</v>
      </c>
      <c r="H42" s="9" t="s">
        <v>7</v>
      </c>
      <c r="I42" s="2">
        <v>-85</v>
      </c>
      <c r="J42" s="7"/>
      <c r="K42" s="2" t="s">
        <v>8</v>
      </c>
      <c r="L42" s="8" t="s">
        <v>33</v>
      </c>
      <c r="O42" s="3"/>
    </row>
    <row r="43" spans="2:15" ht="18.75" x14ac:dyDescent="0.25">
      <c r="B43" s="9" t="s">
        <v>31</v>
      </c>
      <c r="C43" s="2">
        <v>300</v>
      </c>
      <c r="D43" s="7"/>
      <c r="E43" s="2" t="s">
        <v>9</v>
      </c>
      <c r="F43" s="8" t="s">
        <v>32</v>
      </c>
      <c r="H43" s="9" t="s">
        <v>31</v>
      </c>
      <c r="I43" s="2">
        <v>350</v>
      </c>
      <c r="J43" s="7"/>
      <c r="K43" s="2" t="s">
        <v>9</v>
      </c>
      <c r="L43" s="8" t="s">
        <v>2</v>
      </c>
    </row>
    <row r="44" spans="2:15" ht="18.75" x14ac:dyDescent="0.25">
      <c r="B44" s="6"/>
      <c r="C44" s="7"/>
      <c r="D44" s="7"/>
      <c r="E44" s="2" t="s">
        <v>10</v>
      </c>
      <c r="F44" s="8" t="s">
        <v>32</v>
      </c>
      <c r="H44" s="6"/>
      <c r="I44" s="7"/>
      <c r="J44" s="7"/>
      <c r="K44" s="2" t="s">
        <v>10</v>
      </c>
      <c r="L44" s="8" t="s">
        <v>33</v>
      </c>
    </row>
    <row r="45" spans="2:15" ht="18.75" x14ac:dyDescent="0.25">
      <c r="B45" s="17" t="s">
        <v>35</v>
      </c>
      <c r="C45" s="18"/>
      <c r="D45" s="7"/>
      <c r="E45" s="7"/>
      <c r="F45" s="10"/>
      <c r="H45" s="17" t="s">
        <v>34</v>
      </c>
      <c r="I45" s="18"/>
      <c r="J45" s="7"/>
      <c r="K45" s="7"/>
      <c r="L45" s="10"/>
    </row>
    <row r="46" spans="2:15" ht="18.75" x14ac:dyDescent="0.25">
      <c r="B46" s="9" t="s">
        <v>7</v>
      </c>
      <c r="C46" s="2">
        <v>-155</v>
      </c>
      <c r="D46" s="7"/>
      <c r="E46" s="21" t="s">
        <v>15</v>
      </c>
      <c r="F46" s="22"/>
      <c r="H46" s="9" t="s">
        <v>7</v>
      </c>
      <c r="I46" s="2">
        <v>-155</v>
      </c>
      <c r="J46" s="7"/>
      <c r="K46" s="21" t="s">
        <v>15</v>
      </c>
      <c r="L46" s="22"/>
    </row>
    <row r="47" spans="2:15" ht="18.75" x14ac:dyDescent="0.25">
      <c r="B47" s="9" t="s">
        <v>31</v>
      </c>
      <c r="C47" s="2">
        <v>210</v>
      </c>
      <c r="D47" s="7"/>
      <c r="E47" s="2" t="s">
        <v>16</v>
      </c>
      <c r="F47" s="8">
        <v>8.5</v>
      </c>
      <c r="H47" s="9" t="s">
        <v>31</v>
      </c>
      <c r="I47" s="2">
        <v>280</v>
      </c>
      <c r="J47" s="7"/>
      <c r="K47" s="2" t="s">
        <v>30</v>
      </c>
      <c r="L47" s="8">
        <v>25</v>
      </c>
    </row>
    <row r="48" spans="2:15" ht="18.75" x14ac:dyDescent="0.25">
      <c r="B48" s="6"/>
      <c r="C48" s="7"/>
      <c r="D48" s="7"/>
      <c r="E48" s="2" t="s">
        <v>17</v>
      </c>
      <c r="F48" s="8">
        <v>6</v>
      </c>
      <c r="H48" s="6"/>
      <c r="I48" s="7"/>
      <c r="J48" s="7"/>
      <c r="K48" s="2" t="s">
        <v>31</v>
      </c>
      <c r="L48" s="8">
        <v>22</v>
      </c>
    </row>
    <row r="49" spans="1:14" ht="18.75" x14ac:dyDescent="0.25">
      <c r="B49" s="19" t="s">
        <v>12</v>
      </c>
      <c r="C49" s="20"/>
      <c r="D49" s="7"/>
      <c r="E49" s="5" t="s">
        <v>64</v>
      </c>
      <c r="F49" s="8">
        <f>(74+71)</f>
        <v>145</v>
      </c>
      <c r="H49" s="19" t="s">
        <v>12</v>
      </c>
      <c r="I49" s="20"/>
      <c r="J49" s="7"/>
      <c r="K49" s="5" t="s">
        <v>64</v>
      </c>
      <c r="L49" s="8">
        <f>(75+75)</f>
        <v>150</v>
      </c>
    </row>
    <row r="50" spans="1:14" x14ac:dyDescent="0.25">
      <c r="B50" s="9" t="s">
        <v>0</v>
      </c>
      <c r="C50" s="15">
        <v>11</v>
      </c>
      <c r="D50" s="7"/>
      <c r="E50" s="7"/>
      <c r="F50" s="10"/>
      <c r="H50" s="9" t="s">
        <v>0</v>
      </c>
      <c r="I50" s="4">
        <v>11</v>
      </c>
      <c r="J50" s="7"/>
      <c r="K50" s="7"/>
      <c r="L50" s="10"/>
    </row>
    <row r="51" spans="1:14" x14ac:dyDescent="0.25">
      <c r="B51" s="9" t="s">
        <v>1</v>
      </c>
      <c r="C51" s="15">
        <v>9</v>
      </c>
      <c r="D51" s="7"/>
      <c r="E51" s="21" t="s">
        <v>20</v>
      </c>
      <c r="F51" s="22"/>
      <c r="H51" s="9" t="s">
        <v>1</v>
      </c>
      <c r="I51" s="15">
        <v>0</v>
      </c>
      <c r="J51" s="7"/>
      <c r="K51" s="21" t="s">
        <v>20</v>
      </c>
      <c r="L51" s="22"/>
    </row>
    <row r="52" spans="1:14" ht="18.75" x14ac:dyDescent="0.25">
      <c r="B52" s="6"/>
      <c r="C52" s="7"/>
      <c r="D52" s="7"/>
      <c r="E52" s="2" t="s">
        <v>18</v>
      </c>
      <c r="F52" s="8">
        <v>120</v>
      </c>
      <c r="H52" s="6"/>
      <c r="I52" s="7"/>
      <c r="J52" s="7"/>
      <c r="K52" s="2" t="s">
        <v>18</v>
      </c>
      <c r="L52" s="8">
        <v>119.5</v>
      </c>
    </row>
    <row r="53" spans="1:14" ht="18.75" x14ac:dyDescent="0.25">
      <c r="B53" s="19" t="s">
        <v>11</v>
      </c>
      <c r="C53" s="20"/>
      <c r="D53" s="7"/>
      <c r="E53" s="2" t="s">
        <v>39</v>
      </c>
      <c r="F53" s="8">
        <v>207.5</v>
      </c>
      <c r="H53" s="19" t="s">
        <v>11</v>
      </c>
      <c r="I53" s="20"/>
      <c r="J53" s="7"/>
      <c r="K53" s="2" t="s">
        <v>39</v>
      </c>
      <c r="L53" s="8">
        <v>204</v>
      </c>
    </row>
    <row r="54" spans="1:14" ht="18.75" x14ac:dyDescent="0.25">
      <c r="B54" s="9" t="s">
        <v>3</v>
      </c>
      <c r="C54" s="2">
        <v>100</v>
      </c>
      <c r="D54" s="7"/>
      <c r="E54" s="16" t="s">
        <v>40</v>
      </c>
      <c r="F54" s="8">
        <v>111</v>
      </c>
      <c r="H54" s="9" t="s">
        <v>3</v>
      </c>
      <c r="I54" s="2">
        <v>100</v>
      </c>
      <c r="J54" s="7"/>
      <c r="K54" s="16" t="s">
        <v>40</v>
      </c>
      <c r="L54" s="8">
        <v>105.5</v>
      </c>
    </row>
    <row r="55" spans="1:14" ht="18.75" x14ac:dyDescent="0.25">
      <c r="B55" s="9" t="s">
        <v>4</v>
      </c>
      <c r="C55" s="2">
        <v>23.22</v>
      </c>
      <c r="D55" s="7"/>
      <c r="E55" s="2" t="s">
        <v>19</v>
      </c>
      <c r="F55" s="8">
        <v>199.5</v>
      </c>
      <c r="H55" s="9" t="s">
        <v>4</v>
      </c>
      <c r="I55" s="2">
        <v>21.29</v>
      </c>
      <c r="J55" s="7"/>
      <c r="K55" s="2" t="s">
        <v>19</v>
      </c>
      <c r="L55" s="8">
        <v>199</v>
      </c>
    </row>
    <row r="56" spans="1:14" ht="19.5" thickBot="1" x14ac:dyDescent="0.3">
      <c r="B56" s="11" t="s">
        <v>14</v>
      </c>
      <c r="C56" s="12" t="s">
        <v>23</v>
      </c>
      <c r="D56" s="13"/>
      <c r="E56" s="32" t="s">
        <v>41</v>
      </c>
      <c r="F56" s="14">
        <v>23.5</v>
      </c>
      <c r="H56" s="11" t="s">
        <v>14</v>
      </c>
      <c r="I56" s="12" t="s">
        <v>29</v>
      </c>
      <c r="J56" s="13"/>
      <c r="K56" s="32" t="s">
        <v>41</v>
      </c>
      <c r="L56" s="14">
        <v>23.5</v>
      </c>
    </row>
    <row r="58" spans="1:14" x14ac:dyDescent="0.25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</row>
    <row r="59" spans="1:14" x14ac:dyDescent="0.25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</row>
    <row r="60" spans="1:14" x14ac:dyDescent="0.25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</row>
    <row r="61" spans="1:14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</row>
    <row r="62" spans="1:14" x14ac:dyDescent="0.25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</row>
    <row r="63" spans="1:14" x14ac:dyDescent="0.25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</row>
    <row r="64" spans="1:14" x14ac:dyDescent="0.25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</row>
    <row r="65" spans="1:14" x14ac:dyDescent="0.25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</row>
    <row r="66" spans="1:14" x14ac:dyDescent="0.25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</row>
    <row r="67" spans="1:14" x14ac:dyDescent="0.25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</row>
    <row r="68" spans="1:14" x14ac:dyDescent="0.25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</row>
    <row r="69" spans="1:14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</row>
    <row r="70" spans="1:14" x14ac:dyDescent="0.2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</row>
    <row r="71" spans="1:14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</row>
    <row r="72" spans="1:14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</row>
    <row r="73" spans="1:14" x14ac:dyDescent="0.2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</row>
    <row r="74" spans="1:14" x14ac:dyDescent="0.2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</row>
    <row r="75" spans="1:14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</row>
    <row r="76" spans="1:14" x14ac:dyDescent="0.2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</row>
    <row r="78" spans="1:14" ht="21" customHeight="1" x14ac:dyDescent="0.25">
      <c r="B78" s="34" t="s">
        <v>42</v>
      </c>
      <c r="C78" s="34"/>
      <c r="D78" s="34"/>
      <c r="E78" s="34"/>
      <c r="F78" s="34"/>
      <c r="G78" s="34"/>
      <c r="H78" s="34"/>
      <c r="I78" s="34"/>
      <c r="J78" s="35"/>
      <c r="K78" s="35"/>
    </row>
    <row r="79" spans="1:14" ht="21" customHeight="1" x14ac:dyDescent="0.25">
      <c r="B79" s="35"/>
      <c r="C79" s="35"/>
      <c r="D79" s="35"/>
      <c r="E79" s="35"/>
      <c r="F79" s="35"/>
      <c r="G79" s="35"/>
      <c r="H79" s="35"/>
      <c r="I79" s="35"/>
      <c r="J79" s="35"/>
      <c r="K79" s="35"/>
    </row>
    <row r="80" spans="1:14" ht="14.25" customHeight="1" x14ac:dyDescent="0.25">
      <c r="B80" s="37" t="s">
        <v>43</v>
      </c>
      <c r="C80" s="37"/>
      <c r="D80" s="37"/>
      <c r="E80" s="37"/>
      <c r="F80" s="37"/>
      <c r="G80" s="37"/>
      <c r="H80" s="37"/>
      <c r="I80" s="35"/>
      <c r="J80" s="35"/>
      <c r="K80" s="35"/>
    </row>
    <row r="81" spans="2:11" ht="14.25" customHeight="1" x14ac:dyDescent="0.25">
      <c r="B81" s="37"/>
      <c r="C81" s="37"/>
      <c r="D81" s="37"/>
      <c r="E81" s="37"/>
      <c r="F81" s="37"/>
      <c r="G81" s="37"/>
      <c r="H81" s="37"/>
      <c r="I81" s="35"/>
      <c r="J81" s="35"/>
      <c r="K81" s="35"/>
    </row>
    <row r="82" spans="2:11" ht="14.25" customHeight="1" x14ac:dyDescent="0.25">
      <c r="B82" s="35"/>
      <c r="C82" s="35"/>
      <c r="D82" s="35"/>
      <c r="E82" s="35"/>
      <c r="F82" s="35"/>
      <c r="G82" s="35"/>
      <c r="H82" s="35"/>
      <c r="I82" s="35"/>
      <c r="J82" s="35"/>
      <c r="K82" s="35"/>
    </row>
    <row r="83" spans="2:11" ht="14.25" customHeight="1" x14ac:dyDescent="0.25">
      <c r="B83" s="35"/>
      <c r="C83" s="35"/>
      <c r="D83" s="35"/>
      <c r="E83" s="35"/>
      <c r="F83" s="35"/>
      <c r="G83" s="35"/>
      <c r="H83" s="35"/>
      <c r="I83" s="35"/>
      <c r="J83" s="35"/>
      <c r="K83" s="35"/>
    </row>
    <row r="84" spans="2:11" ht="14.25" customHeight="1" x14ac:dyDescent="0.25">
      <c r="B84" s="35"/>
      <c r="C84" s="35"/>
      <c r="D84" s="35"/>
      <c r="E84" s="35"/>
      <c r="F84" s="35"/>
      <c r="G84" s="35"/>
      <c r="H84" s="35"/>
      <c r="I84" s="35"/>
      <c r="J84" s="35"/>
      <c r="K84" s="35"/>
    </row>
    <row r="85" spans="2:11" ht="14.25" customHeight="1" x14ac:dyDescent="0.25">
      <c r="B85" s="35"/>
      <c r="C85" s="35"/>
      <c r="D85" s="35"/>
      <c r="E85" s="35"/>
      <c r="F85" s="35"/>
      <c r="G85" s="35"/>
      <c r="H85" s="35"/>
      <c r="I85" s="35"/>
      <c r="J85" s="35"/>
      <c r="K85" s="35"/>
    </row>
  </sheetData>
  <mergeCells count="51">
    <mergeCell ref="A58:N76"/>
    <mergeCell ref="B78:I78"/>
    <mergeCell ref="B80:H81"/>
    <mergeCell ref="K13:L13"/>
    <mergeCell ref="H53:I53"/>
    <mergeCell ref="H41:I41"/>
    <mergeCell ref="K41:L41"/>
    <mergeCell ref="H45:I45"/>
    <mergeCell ref="K46:L46"/>
    <mergeCell ref="H49:I49"/>
    <mergeCell ref="K51:L51"/>
    <mergeCell ref="H3:I3"/>
    <mergeCell ref="K3:L3"/>
    <mergeCell ref="H7:I7"/>
    <mergeCell ref="K8:L8"/>
    <mergeCell ref="H11:I11"/>
    <mergeCell ref="K27:L27"/>
    <mergeCell ref="H30:I30"/>
    <mergeCell ref="K32:L32"/>
    <mergeCell ref="H34:I34"/>
    <mergeCell ref="H40:L40"/>
    <mergeCell ref="E46:F46"/>
    <mergeCell ref="B49:C49"/>
    <mergeCell ref="E51:F51"/>
    <mergeCell ref="B53:C53"/>
    <mergeCell ref="H2:L2"/>
    <mergeCell ref="B15:C15"/>
    <mergeCell ref="B11:C11"/>
    <mergeCell ref="B21:F21"/>
    <mergeCell ref="E22:F22"/>
    <mergeCell ref="E27:F27"/>
    <mergeCell ref="B22:C22"/>
    <mergeCell ref="H15:I15"/>
    <mergeCell ref="H21:L21"/>
    <mergeCell ref="H22:I22"/>
    <mergeCell ref="K22:L22"/>
    <mergeCell ref="H26:I26"/>
    <mergeCell ref="B34:C34"/>
    <mergeCell ref="B40:F40"/>
    <mergeCell ref="B41:C41"/>
    <mergeCell ref="E41:F41"/>
    <mergeCell ref="B45:C45"/>
    <mergeCell ref="B26:C26"/>
    <mergeCell ref="B30:C30"/>
    <mergeCell ref="E32:F32"/>
    <mergeCell ref="B2:F2"/>
    <mergeCell ref="E13:F13"/>
    <mergeCell ref="E8:F8"/>
    <mergeCell ref="E3:F3"/>
    <mergeCell ref="B3:C3"/>
    <mergeCell ref="B7:C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topLeftCell="C1" workbookViewId="0">
      <selection activeCell="O20" sqref="O20"/>
    </sheetView>
  </sheetViews>
  <sheetFormatPr defaultRowHeight="15" x14ac:dyDescent="0.25"/>
  <cols>
    <col min="1" max="1" width="10.28515625" style="36" customWidth="1"/>
    <col min="2" max="2" width="13.28515625" style="36" customWidth="1"/>
    <col min="3" max="3" width="9.140625" style="36"/>
    <col min="4" max="5" width="11.28515625" style="36" customWidth="1"/>
    <col min="6" max="11" width="9.140625" style="36"/>
    <col min="12" max="12" width="11.42578125" style="36" customWidth="1"/>
    <col min="13" max="13" width="9.140625" style="36"/>
    <col min="14" max="14" width="10.5703125" style="36" customWidth="1"/>
    <col min="15" max="16" width="9.140625" style="36"/>
    <col min="17" max="17" width="14" style="36" customWidth="1"/>
    <col min="18" max="19" width="9.140625" style="36"/>
  </cols>
  <sheetData>
    <row r="1" spans="1:19" ht="18" x14ac:dyDescent="0.25">
      <c r="A1" s="36" t="s">
        <v>45</v>
      </c>
      <c r="B1" s="42" t="s">
        <v>44</v>
      </c>
      <c r="C1" s="36" t="s">
        <v>46</v>
      </c>
      <c r="D1" s="36" t="s">
        <v>47</v>
      </c>
      <c r="E1" s="36" t="s">
        <v>48</v>
      </c>
      <c r="F1" s="36" t="s">
        <v>49</v>
      </c>
      <c r="G1" s="36" t="s">
        <v>50</v>
      </c>
      <c r="H1" s="36" t="s">
        <v>51</v>
      </c>
      <c r="I1" s="36" t="s">
        <v>52</v>
      </c>
      <c r="J1" s="36" t="s">
        <v>53</v>
      </c>
      <c r="K1" s="36" t="s">
        <v>54</v>
      </c>
      <c r="L1" s="42" t="s">
        <v>55</v>
      </c>
      <c r="M1" s="42" t="s">
        <v>63</v>
      </c>
      <c r="N1" s="42" t="s">
        <v>65</v>
      </c>
      <c r="O1" s="36" t="s">
        <v>66</v>
      </c>
      <c r="P1" s="36" t="s">
        <v>68</v>
      </c>
      <c r="Q1" s="42" t="s">
        <v>67</v>
      </c>
      <c r="R1" s="42" t="s">
        <v>69</v>
      </c>
      <c r="S1" s="42" t="s">
        <v>70</v>
      </c>
    </row>
    <row r="2" spans="1:19" x14ac:dyDescent="0.25">
      <c r="A2" s="36">
        <v>1</v>
      </c>
      <c r="B2" s="43">
        <f>(dados_das_bancadas!C16/1000)*0.745*0.74/dados_das_bancadas!C17</f>
        <v>1.7142412935323384E-3</v>
      </c>
      <c r="C2" s="40">
        <f>B2/0.00131</f>
        <v>1.3085811401010217</v>
      </c>
      <c r="D2" s="40">
        <f>(C2*(F12/1000))/D12</f>
        <v>53177.400912471785</v>
      </c>
      <c r="E2" s="36">
        <v>1</v>
      </c>
      <c r="F2" s="40">
        <f>B2/0.000557</f>
        <v>3.0776324839000693</v>
      </c>
      <c r="G2" s="40">
        <f>(F2*(G12/1000))/D12</f>
        <v>81538.868597352426</v>
      </c>
      <c r="H2" s="36">
        <v>1</v>
      </c>
      <c r="I2" s="36">
        <f>(dados_das_bancadas!C8/1000)*13600*9.8+B12*9.8*(dados_das_bancadas!C12/100)</f>
        <v>-16867.828600000004</v>
      </c>
      <c r="J2" s="36">
        <f>dados_das_bancadas!C9*1000+B12*9.8*(dados_das_bancadas!C13/100)</f>
        <v>190880.4124</v>
      </c>
      <c r="K2" s="40">
        <f>(dados_das_bancadas!F18/100)+((Cálculos!J2-Cálculos!I2)/(B12*9.8))+((Cálculos!F2^2-Cálculos!C2^2)/19.6)</f>
        <v>21.852916398442627</v>
      </c>
      <c r="L2" s="44">
        <f>K2*(3500/C12)^2</f>
        <v>22.727461703584581</v>
      </c>
      <c r="M2" s="44">
        <f>((dados_das_bancadas!F9-dados_das_bancadas!F10)*Cálculos!$L$13)/(B12*9.8)</f>
        <v>2.1119648019496315</v>
      </c>
      <c r="N2" s="44">
        <f>(dados_das_bancadas!F11/1000)*((Cálculos!E12-Cálculos!B12)/Cálculos!B12)</f>
        <v>1.0433454217591664</v>
      </c>
      <c r="O2" s="40">
        <f>(M2*19.6*(0.000557)^2)/B2^2</f>
        <v>4.3702796994351587</v>
      </c>
      <c r="P2" s="38">
        <f>(N2*0.0266*19.6*(0.000557)^2)/((dados_das_bancadas!F17/100)*Cálculos!B2^2)</f>
        <v>2.8714569698153149E-2</v>
      </c>
      <c r="Q2" s="44">
        <f>O2*0.0266/P2</f>
        <v>4.0484479212813032</v>
      </c>
      <c r="R2" s="46">
        <f>-((dados_das_bancadas!F14/100)+(Cálculos!I2/(Cálculos!B12*9.8))+(Cálculos!C2^2/19.6))</f>
        <v>0.42694419813073375</v>
      </c>
      <c r="S2" s="44">
        <f>(J2/(B12*9.8))+((H12-(dados_das_bancadas!F15-dados_das_bancadas!F16))/100)</f>
        <v>19.602715990824297</v>
      </c>
    </row>
    <row r="3" spans="1:19" x14ac:dyDescent="0.25">
      <c r="A3" s="36">
        <v>2</v>
      </c>
      <c r="B3" s="43">
        <f>(dados_das_bancadas!C35/1000)*0.74*0.74/dados_das_bancadas!C36</f>
        <v>1.3628670980587356E-3</v>
      </c>
      <c r="C3" s="40">
        <f t="shared" ref="C3:C6" si="0">B3/0.00131</f>
        <v>1.0403565634036149</v>
      </c>
      <c r="D3" s="40">
        <f>(C3*(F13/1000))/D13</f>
        <v>42277.438034728562</v>
      </c>
      <c r="E3" s="36">
        <v>1</v>
      </c>
      <c r="F3" s="40">
        <f t="shared" ref="F3:F7" si="1">B3/0.000557</f>
        <v>2.4467990988487176</v>
      </c>
      <c r="G3" s="40">
        <f t="shared" ref="G3:G6" si="2">(F3*(G13/1000))/D13</f>
        <v>64825.553814119405</v>
      </c>
      <c r="H3" s="36">
        <v>1</v>
      </c>
      <c r="I3" s="36">
        <f>(dados_das_bancadas!C23/1000)*13600*9.8+B13*9.8*(dados_das_bancadas!C31/100)</f>
        <v>-14917.5404</v>
      </c>
      <c r="J3" s="36">
        <f>dados_das_bancadas!C28*1000+B13*9.8*(dados_das_bancadas!C32/100)</f>
        <v>200880.4124</v>
      </c>
      <c r="K3" s="40">
        <f>(dados_das_bancadas!F37/100)+((Cálculos!J3-Cálculos!I3)/(B13*9.8))+((Cálculos!F3^2-Cálculos!C3^2)/19.6)</f>
        <v>22.525135876200522</v>
      </c>
      <c r="L3" s="44">
        <f t="shared" ref="L3:L7" si="3">K3*(3500/C13)^2</f>
        <v>23.155914324060248</v>
      </c>
      <c r="M3" s="44">
        <f>((dados_das_bancadas!F28-dados_das_bancadas!F29)*Cálculos!$L$13)/(B13*9.8)</f>
        <v>0.70398826731654396</v>
      </c>
      <c r="N3" s="44">
        <f>(dados_das_bancadas!F30/1000)*((Cálculos!E13-Cálculos!B13)/Cálculos!B13)</f>
        <v>0.70394389901823273</v>
      </c>
      <c r="O3" s="40">
        <f t="shared" ref="O3:O6" si="4">(M3*19.6*(0.000557)^2)/B3^2</f>
        <v>2.3047555467488516</v>
      </c>
      <c r="P3" s="38">
        <f>(N3*0.0266*19.6*(0.000557)^2)/((dados_das_bancadas!F36/100)*Cálculos!B3^2)</f>
        <v>3.0574879676046822E-2</v>
      </c>
      <c r="Q3" s="44">
        <f t="shared" ref="Q3:Q7" si="5">O3*0.0266/P3</f>
        <v>2.0051263714881795</v>
      </c>
      <c r="R3" s="46">
        <f>-((dados_das_bancadas!F33/100)+(Cálculos!I3/(Cálculos!B13*9.8))+(Cálculos!C3^2/19.6))</f>
        <v>0.27972137787738582</v>
      </c>
      <c r="S3" s="44">
        <f>(J3/(B13*9.8))+((H13-(dados_das_bancadas!F34-dados_das_bancadas!F35))/100)</f>
        <v>20.579964200867686</v>
      </c>
    </row>
    <row r="4" spans="1:19" x14ac:dyDescent="0.25">
      <c r="A4" s="36">
        <v>3</v>
      </c>
      <c r="B4" s="43">
        <f>(dados_das_bancadas!C54/1000)*0.74*0.74/dados_das_bancadas!C55</f>
        <v>2.3583118001722653E-3</v>
      </c>
      <c r="C4" s="40">
        <f t="shared" si="0"/>
        <v>1.8002380153986759</v>
      </c>
      <c r="D4" s="40">
        <f>(C4*(F14/1000))/D14</f>
        <v>91812.13878533247</v>
      </c>
      <c r="E4" s="36">
        <v>1</v>
      </c>
      <c r="F4" s="40">
        <f t="shared" si="1"/>
        <v>4.2339529626072991</v>
      </c>
      <c r="G4" s="40">
        <f t="shared" si="2"/>
        <v>140778.9360066927</v>
      </c>
      <c r="H4" s="36">
        <v>1</v>
      </c>
      <c r="I4" s="36">
        <f>(dados_das_bancadas!C46/1000)*13600*9.8+B14*9.8*(dados_das_bancadas!C50/100)</f>
        <v>-19585.035400000001</v>
      </c>
      <c r="J4" s="36">
        <f>dados_das_bancadas!C47*1000+B14*9.8*(dados_das_bancadas!C51/100)</f>
        <v>210878.20740000001</v>
      </c>
      <c r="K4" s="40">
        <f>(dados_das_bancadas!F56/100)+((Cálculos!J4-Cálculos!I4)/(B14*9.8))+((Cálculos!F4^2-Cálculos!C4^2)/19.6)</f>
        <v>24.60247600007283</v>
      </c>
      <c r="L4" s="44">
        <f t="shared" si="3"/>
        <v>24.914705049904761</v>
      </c>
      <c r="M4" s="44">
        <f>((dados_das_bancadas!F47-dados_das_bancadas!F48)*Cálculos!$L$13)/(B14*9.8)</f>
        <v>1.7643895963527523</v>
      </c>
      <c r="N4" s="44">
        <f>(dados_das_bancadas!F49/1000)*((Cálculos!E14-Cálculos!B14)/Cálculos!B14)</f>
        <v>1.8240117505272668</v>
      </c>
      <c r="O4" s="40">
        <f t="shared" si="4"/>
        <v>1.9291167055442873</v>
      </c>
      <c r="P4" s="38">
        <f>(N4*0.0266*19.6*(0.000557)^2)/((dados_das_bancadas!F55/100)*Cálculos!B4^2)</f>
        <v>2.659073745258194E-2</v>
      </c>
      <c r="Q4" s="44">
        <f t="shared" si="5"/>
        <v>1.9297886889743043</v>
      </c>
      <c r="R4" s="46">
        <f>-((dados_das_bancadas!F52/100)+(Cálculos!I4/(Cálculos!B14*9.8))+(Cálculos!C4^2/19.6))</f>
        <v>0.64175370279115551</v>
      </c>
      <c r="S4" s="44">
        <f>(J4/(B14*9.8))+((H14-(dados_das_bancadas!F53-dados_das_bancadas!F54))/100)</f>
        <v>21.661112211079068</v>
      </c>
    </row>
    <row r="5" spans="1:19" x14ac:dyDescent="0.25">
      <c r="A5" s="36">
        <v>4</v>
      </c>
      <c r="B5" s="43">
        <f>(dados_das_bancadas!I16/1000)*0.745*0.74/dados_das_bancadas!I17</f>
        <v>2.0756777108433735E-3</v>
      </c>
      <c r="C5" s="40">
        <f t="shared" si="0"/>
        <v>1.5844868021705141</v>
      </c>
      <c r="D5" s="40">
        <f t="shared" ref="D5:D7" si="6">(C5*(F15/1000))/D15</f>
        <v>80808.826910696211</v>
      </c>
      <c r="E5" s="36">
        <v>1</v>
      </c>
      <c r="F5" s="40">
        <f t="shared" si="1"/>
        <v>3.726530899180204</v>
      </c>
      <c r="G5" s="40">
        <f t="shared" si="2"/>
        <v>123907.1523977418</v>
      </c>
      <c r="H5" s="36">
        <v>1</v>
      </c>
      <c r="I5" s="36">
        <f>(dados_das_bancadas!I8/1000)*13600*9.8+B15*9.8*(dados_das_bancadas!I12/100)</f>
        <v>-16204.246100000002</v>
      </c>
      <c r="J5" s="40">
        <f>dados_das_bancadas!I9*1000+B15*9.8*(dados_das_bancadas!I13/100)</f>
        <v>220000</v>
      </c>
      <c r="K5" s="40">
        <f>(dados_das_bancadas!L18/100)+((Cálculos!J5-Cálculos!I5)/(B15*9.8))+((Cálculos!F5^2-Cálculos!C5^2)/19.6)</f>
        <v>25.016992621824468</v>
      </c>
      <c r="L5" s="44">
        <f t="shared" si="3"/>
        <v>26.231738387156081</v>
      </c>
      <c r="M5" s="44">
        <f>((dados_das_bancadas!L9-dados_das_bancadas!L10)*Cálculos!$L$13)/(B15*9.8)</f>
        <v>2.1172675156233027</v>
      </c>
      <c r="N5" s="44">
        <f>(dados_das_bancadas!L11/1000)*((Cálculos!E15-Cálculos!B15)/Cálculos!B15)</f>
        <v>1.3963124435070804</v>
      </c>
      <c r="O5" s="40">
        <f t="shared" si="4"/>
        <v>2.9882873233774454</v>
      </c>
      <c r="P5" s="38">
        <f>(N5*0.0266*19.6*(0.000557)^2)/((dados_das_bancadas!L17/100)*Cálculos!B5^2)</f>
        <v>2.6342548401699691E-2</v>
      </c>
      <c r="Q5" s="44">
        <f t="shared" si="5"/>
        <v>3.0174925215933643</v>
      </c>
      <c r="R5" s="46">
        <f>-((dados_das_bancadas!L14/100)+(Cálculos!I5/(Cálculos!B15*9.8))+(Cálculos!C5^2/19.6))</f>
        <v>0.3325434750539743</v>
      </c>
      <c r="S5" s="44">
        <f>(J5/(B15*9.8))+((H15-(dados_das_bancadas!L15-dados_das_bancadas!L16))/100)</f>
        <v>22.585927078273308</v>
      </c>
    </row>
    <row r="6" spans="1:19" x14ac:dyDescent="0.25">
      <c r="A6" s="36">
        <v>5</v>
      </c>
      <c r="B6" s="43">
        <f>(dados_das_bancadas!I35/1000)*0.745*0.735/dados_das_bancadas!I36</f>
        <v>2.3330847890924585E-3</v>
      </c>
      <c r="C6" s="40">
        <f t="shared" si="0"/>
        <v>1.780980755032411</v>
      </c>
      <c r="D6" s="40">
        <f t="shared" si="6"/>
        <v>110431.63344273916</v>
      </c>
      <c r="E6" s="36">
        <v>1</v>
      </c>
      <c r="F6" s="40">
        <f t="shared" si="1"/>
        <v>4.1886620989092611</v>
      </c>
      <c r="G6" s="40">
        <f t="shared" si="2"/>
        <v>169328.89336016163</v>
      </c>
      <c r="H6" s="36">
        <v>1</v>
      </c>
      <c r="I6" s="36">
        <f>(dados_das_bancadas!I27/1000)*13600*9.8+B16*9.8*(dados_das_bancadas!I31/100)</f>
        <v>-24725.537200000002</v>
      </c>
      <c r="J6" s="40">
        <f>dados_das_bancadas!I28*1000+B16*9.8*(dados_das_bancadas!I32/100)</f>
        <v>215000</v>
      </c>
      <c r="K6" s="40">
        <f>(dados_das_bancadas!L37/100)+((Cálculos!J6-Cálculos!I6)/(B16*9.8))+((Cálculos!F6^2-Cálculos!C6^2)/19.6)</f>
        <v>25.622407633971328</v>
      </c>
      <c r="L6" s="44">
        <f t="shared" si="3"/>
        <v>27.183744264980575</v>
      </c>
      <c r="M6" s="44">
        <f>((dados_das_bancadas!L28-dados_das_bancadas!L29)*Cálculos!$L$13)/(B16*9.8)</f>
        <v>2.124736207726388</v>
      </c>
      <c r="N6" s="44">
        <f>(dados_das_bancadas!L30/1000)*((Cálculos!E16-Cálculos!B16)/Cálculos!B16)</f>
        <v>1.7770376940133035</v>
      </c>
      <c r="O6" s="40">
        <f t="shared" si="4"/>
        <v>2.3736158646159802</v>
      </c>
      <c r="P6" s="38">
        <f>(N6*0.0266*19.6*(0.000557)^2)/((dados_das_bancadas!L36/100)*Cálculos!B6^2)</f>
        <v>2.6469198684161217E-2</v>
      </c>
      <c r="Q6" s="44">
        <f t="shared" si="5"/>
        <v>2.3853454255328872</v>
      </c>
      <c r="R6" s="44">
        <f>-((dados_das_bancadas!L33/100)+(Cálculos!I6/(Cálculos!B16*9.8))+(Cálculos!C6^2/19.6))</f>
        <v>1.1960169686469044</v>
      </c>
      <c r="S6" s="44">
        <f>(J6/(B16*9.8))+((H16-(dados_das_bancadas!L34-dados_das_bancadas!L35))/100)</f>
        <v>22.186243207220397</v>
      </c>
    </row>
    <row r="7" spans="1:19" x14ac:dyDescent="0.25">
      <c r="A7" s="36">
        <v>6</v>
      </c>
      <c r="B7" s="43">
        <f>(dados_das_bancadas!I54/1000)*0.735*0.735/dados_das_bancadas!I55</f>
        <v>2.5374589008924377E-3</v>
      </c>
      <c r="C7" s="40">
        <f>B7/0.00217</f>
        <v>1.1693358990287732</v>
      </c>
      <c r="D7" s="40">
        <f t="shared" si="6"/>
        <v>93298.077050168067</v>
      </c>
      <c r="E7" s="36">
        <v>1</v>
      </c>
      <c r="F7" s="40">
        <f>B7/0.00131</f>
        <v>1.9369915273988074</v>
      </c>
      <c r="G7" s="40">
        <f>(F7*(G17/1000))/D17</f>
        <v>120105.24972320872</v>
      </c>
      <c r="H7" s="36">
        <v>1</v>
      </c>
      <c r="I7" s="36">
        <f>(dados_das_bancadas!I46/1000)*13600*9.8+B17*9.8*(dados_das_bancadas!I50/100)</f>
        <v>-19588.808400000002</v>
      </c>
      <c r="J7" s="40">
        <f>dados_das_bancadas!I47*1000+B17*9.8*(dados_das_bancadas!I51/100)</f>
        <v>280000</v>
      </c>
      <c r="K7" s="40">
        <f>(dados_das_bancadas!L56/100)+((Cálculos!J7-Cálculos!I7)/(B17*9.8))+((Cálculos!F7^2-Cálculos!C7^2)/19.6)</f>
        <v>31.167272065608891</v>
      </c>
      <c r="L7" s="44">
        <f t="shared" si="3"/>
        <v>31.855230628394654</v>
      </c>
      <c r="M7" s="44">
        <f>((dados_das_bancadas!L47-dados_das_bancadas!L48)*1000)/(B17*9.8)</f>
        <v>0.30852897498447068</v>
      </c>
      <c r="N7" s="44">
        <f>(dados_das_bancadas!L49/1000)*((Cálculos!E17-Cálculos!B17)/Cálculos!B17)</f>
        <v>1.8904656319290463</v>
      </c>
      <c r="O7" s="40">
        <f>(M7*19.6*(0.000557)^2)/B7^2</f>
        <v>0.2913831168798644</v>
      </c>
      <c r="P7" s="38">
        <f>(N7*0.0266*19.6*(0.000557)^2)/((dados_das_bancadas!L55/100)*Cálculos!B7^2)</f>
        <v>2.3865238280336619E-2</v>
      </c>
      <c r="Q7" s="46">
        <f t="shared" si="5"/>
        <v>0.32477324625711085</v>
      </c>
      <c r="R7" s="46">
        <f>-((dados_das_bancadas!L52/100)+(Cálculos!I7/(Cálculos!B17*9.8))+(Cálculos!C7^2/19.6))</f>
        <v>0.74980908522761625</v>
      </c>
      <c r="S7" s="44">
        <f>(J7/(B17*9.8))+((H17-(dados_das_bancadas!L53-dados_das_bancadas!L54))/100)+((F7^2-(B7/(0.00217))^2)/19.6)</f>
        <v>28.962700406669168</v>
      </c>
    </row>
    <row r="8" spans="1:19" x14ac:dyDescent="0.25">
      <c r="B8" s="47">
        <v>0.5</v>
      </c>
      <c r="C8" s="48">
        <v>0.3</v>
      </c>
      <c r="D8" s="48">
        <v>0.3</v>
      </c>
      <c r="E8" s="48">
        <v>0.3</v>
      </c>
      <c r="F8" s="48">
        <v>0.3</v>
      </c>
      <c r="G8" s="48">
        <v>0.3</v>
      </c>
      <c r="H8" s="48">
        <v>0.3</v>
      </c>
      <c r="I8" s="48">
        <v>0.3</v>
      </c>
      <c r="J8" s="48">
        <v>0.3</v>
      </c>
      <c r="K8" s="48">
        <v>0.3</v>
      </c>
      <c r="L8" s="49">
        <v>0.3</v>
      </c>
      <c r="M8" s="51">
        <v>0.5</v>
      </c>
      <c r="N8" s="51">
        <v>0.5</v>
      </c>
      <c r="O8" s="47">
        <v>0.3</v>
      </c>
      <c r="P8" s="47">
        <v>0.3</v>
      </c>
      <c r="Q8" s="47">
        <v>0.4</v>
      </c>
      <c r="R8" s="36">
        <v>0.5</v>
      </c>
      <c r="S8" s="36">
        <v>0.5</v>
      </c>
    </row>
    <row r="11" spans="1:19" ht="18" x14ac:dyDescent="0.25">
      <c r="A11" s="36" t="s">
        <v>45</v>
      </c>
      <c r="B11" s="36" t="s">
        <v>56</v>
      </c>
      <c r="C11" s="36" t="s">
        <v>57</v>
      </c>
      <c r="D11" s="36" t="s">
        <v>59</v>
      </c>
      <c r="E11" s="36" t="s">
        <v>60</v>
      </c>
      <c r="F11" s="36" t="s">
        <v>61</v>
      </c>
      <c r="G11" s="36" t="s">
        <v>62</v>
      </c>
      <c r="H11" s="36" t="s">
        <v>71</v>
      </c>
      <c r="N11" s="36" t="s">
        <v>72</v>
      </c>
      <c r="O11" s="36" t="s">
        <v>73</v>
      </c>
      <c r="P11" s="36" t="s">
        <v>74</v>
      </c>
      <c r="Q11" s="42" t="s">
        <v>76</v>
      </c>
      <c r="R11" s="36" t="s">
        <v>75</v>
      </c>
    </row>
    <row r="12" spans="1:19" x14ac:dyDescent="0.25">
      <c r="A12" s="36">
        <v>1</v>
      </c>
      <c r="B12" s="36">
        <v>998.2</v>
      </c>
      <c r="C12" s="36">
        <v>3432</v>
      </c>
      <c r="D12" s="45">
        <v>1.004E-6</v>
      </c>
      <c r="E12" s="36">
        <v>13546</v>
      </c>
      <c r="F12" s="36">
        <v>40.799999999999997</v>
      </c>
      <c r="G12" s="36">
        <v>26.6</v>
      </c>
      <c r="H12" s="36">
        <v>102</v>
      </c>
      <c r="L12" s="41" t="s">
        <v>58</v>
      </c>
      <c r="N12" s="40">
        <f>(0.0266/D12)*((N2*0.0266*19.6)/(dados_das_bancadas!F17/100))^0.5</f>
        <v>13817.066166570576</v>
      </c>
      <c r="O12" s="40">
        <f>0.0266/0.000046</f>
        <v>578.26086956521738</v>
      </c>
      <c r="P12" s="36">
        <v>2.4500000000000001E-2</v>
      </c>
      <c r="Q12" s="43">
        <f>((N2*0.0266*19.6*(0.000557)^2)/(P12*(dados_das_bancadas!F17/100)))^0.5</f>
        <v>1.8558380146869032E-3</v>
      </c>
      <c r="R12" s="39">
        <f>B2/Q12</f>
        <v>0.92370200414368953</v>
      </c>
    </row>
    <row r="13" spans="1:19" x14ac:dyDescent="0.25">
      <c r="A13" s="36">
        <v>2</v>
      </c>
      <c r="B13" s="36">
        <v>998.2</v>
      </c>
      <c r="C13" s="36">
        <v>3452</v>
      </c>
      <c r="D13" s="45">
        <v>1.004E-6</v>
      </c>
      <c r="E13" s="36">
        <v>13546</v>
      </c>
      <c r="F13" s="36">
        <v>40.799999999999997</v>
      </c>
      <c r="G13" s="36">
        <v>26.6</v>
      </c>
      <c r="H13" s="36">
        <v>99</v>
      </c>
      <c r="L13" s="36">
        <f>101234/14.7</f>
        <v>6886.666666666667</v>
      </c>
      <c r="N13" s="40">
        <f>(0.0266/D13)*((N3*0.0266*19.6)/(dados_das_bancadas!F36/100))^0.5</f>
        <v>11335.185036922143</v>
      </c>
      <c r="O13" s="40">
        <f t="shared" ref="O13:O17" si="7">0.0266/0.000046</f>
        <v>578.26086956521738</v>
      </c>
      <c r="P13" s="36">
        <v>2.5499999999999998E-2</v>
      </c>
      <c r="Q13" s="43">
        <f>((N3*0.0266*19.6*(0.000557)^2)/(P13*(dados_das_bancadas!F36/100)))^0.5</f>
        <v>1.4923331803065631E-3</v>
      </c>
      <c r="R13" s="39">
        <f>B3/Q13</f>
        <v>0.91324585960004467</v>
      </c>
    </row>
    <row r="14" spans="1:19" x14ac:dyDescent="0.25">
      <c r="A14" s="36">
        <v>3</v>
      </c>
      <c r="B14" s="36">
        <v>995.7</v>
      </c>
      <c r="C14" s="36">
        <v>3478</v>
      </c>
      <c r="D14" s="45">
        <v>7.9999999999999996E-7</v>
      </c>
      <c r="E14" s="36">
        <v>13521</v>
      </c>
      <c r="F14" s="36">
        <v>40.799999999999997</v>
      </c>
      <c r="G14" s="36">
        <v>26.6</v>
      </c>
      <c r="H14" s="36">
        <v>101.5</v>
      </c>
      <c r="N14" s="40">
        <f>(0.0266/D14)*((N4*0.0266*19.6)/(dados_das_bancadas!F55/100))^0.5</f>
        <v>22956.351691117095</v>
      </c>
      <c r="O14" s="40">
        <f t="shared" si="7"/>
        <v>578.26086956521738</v>
      </c>
      <c r="P14" s="38">
        <v>2.4E-2</v>
      </c>
      <c r="Q14" s="43">
        <f>((N4*0.0266*19.6*(0.000557)^2)/(P14*(dados_das_bancadas!F55/100)))^0.5</f>
        <v>2.4823373061996479E-3</v>
      </c>
      <c r="R14" s="39">
        <f>B4/Q14</f>
        <v>0.95003680373427557</v>
      </c>
    </row>
    <row r="15" spans="1:19" x14ac:dyDescent="0.25">
      <c r="A15" s="36">
        <v>4</v>
      </c>
      <c r="B15" s="36">
        <v>995.7</v>
      </c>
      <c r="C15" s="36">
        <v>3418</v>
      </c>
      <c r="D15" s="45">
        <v>7.9999999999999996E-7</v>
      </c>
      <c r="E15" s="36">
        <v>13521</v>
      </c>
      <c r="F15" s="36">
        <v>40.799999999999997</v>
      </c>
      <c r="G15" s="36">
        <v>26.6</v>
      </c>
      <c r="H15" s="36">
        <v>100.5</v>
      </c>
      <c r="N15" s="40">
        <f>(0.0266/D15)*((N5*0.0266*19.6)/(dados_das_bancadas!L17/100))^0.5</f>
        <v>20110.611188771403</v>
      </c>
      <c r="O15" s="40">
        <f t="shared" si="7"/>
        <v>578.26086956521738</v>
      </c>
      <c r="P15" s="38">
        <v>2.4E-2</v>
      </c>
      <c r="Q15" s="43">
        <f>((N5*0.0266*19.6*(0.000557)^2)/(P15*(dados_das_bancadas!L17/100)))^0.5</f>
        <v>2.1746190804212257E-3</v>
      </c>
      <c r="R15" s="39">
        <f>B5/Q15</f>
        <v>0.95450174678009025</v>
      </c>
    </row>
    <row r="16" spans="1:19" x14ac:dyDescent="0.25">
      <c r="A16" s="36">
        <v>5</v>
      </c>
      <c r="B16" s="36">
        <v>992.2</v>
      </c>
      <c r="C16" s="36">
        <v>3398</v>
      </c>
      <c r="D16" s="45">
        <v>6.5799999999999999E-7</v>
      </c>
      <c r="E16" s="36">
        <v>13497</v>
      </c>
      <c r="F16" s="36">
        <v>40.799999999999997</v>
      </c>
      <c r="G16" s="36">
        <v>26.6</v>
      </c>
      <c r="H16" s="36">
        <v>101</v>
      </c>
      <c r="N16" s="40">
        <f>(0.0266/D16)*((N6*0.0266*19.6)/(dados_das_bancadas!L36/100))^0.5</f>
        <v>27548.722666996764</v>
      </c>
      <c r="O16" s="40">
        <f t="shared" si="7"/>
        <v>578.26086956521738</v>
      </c>
      <c r="P16" s="38">
        <v>2.4E-2</v>
      </c>
      <c r="Q16" s="43">
        <f>((N6*0.0266*19.6*(0.000557)^2)/(P16*(dados_das_bancadas!L36/100)))^0.5</f>
        <v>2.4501648111897715E-3</v>
      </c>
      <c r="R16" s="39">
        <f>B6/Q16</f>
        <v>0.95221545033925281</v>
      </c>
    </row>
    <row r="17" spans="1:18" x14ac:dyDescent="0.25">
      <c r="A17" s="36">
        <v>6</v>
      </c>
      <c r="B17" s="36">
        <v>992.2</v>
      </c>
      <c r="C17" s="36">
        <v>3462</v>
      </c>
      <c r="D17" s="45">
        <v>6.5799999999999999E-7</v>
      </c>
      <c r="E17" s="36">
        <v>13497</v>
      </c>
      <c r="F17" s="36">
        <v>52.5</v>
      </c>
      <c r="G17" s="36">
        <v>40.799999999999997</v>
      </c>
      <c r="H17" s="36">
        <v>103</v>
      </c>
      <c r="N17" s="40">
        <f>(0.0266/D17)*((N7*0.0266*19.6)/(dados_das_bancadas!L55/100))^0.5</f>
        <v>28450.011876146084</v>
      </c>
      <c r="O17" s="40">
        <f t="shared" si="7"/>
        <v>578.26086956521738</v>
      </c>
      <c r="P17" s="38">
        <v>2.4E-2</v>
      </c>
      <c r="Q17" s="43">
        <f>((N7*0.0266*19.6*(0.000557)^2)/(P17*(dados_das_bancadas!L55/100)))^0.5</f>
        <v>2.5303248654926975E-3</v>
      </c>
      <c r="R17" s="39">
        <f>B7/Q17</f>
        <v>1.0028194148099443</v>
      </c>
    </row>
    <row r="18" spans="1:18" x14ac:dyDescent="0.25">
      <c r="N18" s="50">
        <v>0.3</v>
      </c>
      <c r="O18" s="50">
        <v>0.3</v>
      </c>
      <c r="P18" s="50">
        <v>0.4</v>
      </c>
      <c r="Q18" s="50">
        <v>0.5</v>
      </c>
    </row>
    <row r="20" spans="1:18" x14ac:dyDescent="0.25">
      <c r="O20" s="40"/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dados_das_bancadas</vt:lpstr>
      <vt:lpstr>Cálculos</vt:lpstr>
      <vt:lpstr>Plan3</vt:lpstr>
    </vt:vector>
  </TitlesOfParts>
  <Company>Fei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uniecabrusio</dc:creator>
  <cp:lastModifiedBy>alemão</cp:lastModifiedBy>
  <dcterms:created xsi:type="dcterms:W3CDTF">2013-09-05T12:17:48Z</dcterms:created>
  <dcterms:modified xsi:type="dcterms:W3CDTF">2013-09-09T18:58:30Z</dcterms:modified>
</cp:coreProperties>
</file>